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11460" windowHeight="5040"/>
  </bookViews>
  <sheets>
    <sheet name="small" sheetId="1" r:id="rId1"/>
    <sheet name="small-hcpu" sheetId="2" r:id="rId2"/>
    <sheet name="medium" sheetId="3" r:id="rId3"/>
  </sheets>
  <calcPr calcId="145621"/>
</workbook>
</file>

<file path=xl/calcChain.xml><?xml version="1.0" encoding="utf-8"?>
<calcChain xmlns="http://schemas.openxmlformats.org/spreadsheetml/2006/main">
  <c r="C29" i="1" l="1"/>
  <c r="M29" i="3"/>
  <c r="L29" i="3"/>
  <c r="K29" i="3"/>
  <c r="J29" i="3"/>
  <c r="I29" i="3"/>
  <c r="H29" i="3"/>
  <c r="N29" i="3" s="1"/>
  <c r="O29" i="3" s="1"/>
  <c r="G29" i="3"/>
  <c r="F29" i="3"/>
  <c r="E29" i="3"/>
  <c r="D29" i="3"/>
  <c r="C29" i="3"/>
  <c r="B29" i="3"/>
  <c r="M28" i="3"/>
  <c r="L28" i="3"/>
  <c r="K28" i="3"/>
  <c r="J28" i="3"/>
  <c r="I28" i="3"/>
  <c r="H28" i="3"/>
  <c r="G28" i="3"/>
  <c r="F28" i="3"/>
  <c r="E28" i="3"/>
  <c r="D28" i="3"/>
  <c r="C28" i="3"/>
  <c r="B28" i="3"/>
  <c r="M27" i="3"/>
  <c r="L27" i="3"/>
  <c r="K27" i="3"/>
  <c r="J27" i="3"/>
  <c r="I27" i="3"/>
  <c r="H27" i="3"/>
  <c r="G27" i="3"/>
  <c r="F27" i="3"/>
  <c r="E27" i="3"/>
  <c r="D27" i="3"/>
  <c r="C27" i="3"/>
  <c r="N27" i="3" s="1"/>
  <c r="O27" i="3" s="1"/>
  <c r="B27" i="3"/>
  <c r="M26" i="3"/>
  <c r="L26" i="3"/>
  <c r="K26" i="3"/>
  <c r="J26" i="3"/>
  <c r="I26" i="3"/>
  <c r="H26" i="3"/>
  <c r="G26" i="3"/>
  <c r="F26" i="3"/>
  <c r="E26" i="3"/>
  <c r="D26" i="3"/>
  <c r="N26" i="3" s="1"/>
  <c r="O26" i="3" s="1"/>
  <c r="C26" i="3"/>
  <c r="B26" i="3"/>
  <c r="M25" i="3"/>
  <c r="L25" i="3"/>
  <c r="K25" i="3"/>
  <c r="J25" i="3"/>
  <c r="I25" i="3"/>
  <c r="H25" i="3"/>
  <c r="N25" i="3" s="1"/>
  <c r="O25" i="3" s="1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N24" i="3" s="1"/>
  <c r="O24" i="3" s="1"/>
  <c r="M23" i="3"/>
  <c r="L23" i="3"/>
  <c r="K23" i="3"/>
  <c r="J23" i="3"/>
  <c r="I23" i="3"/>
  <c r="H23" i="3"/>
  <c r="N23" i="3" s="1"/>
  <c r="O23" i="3" s="1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N22" i="3" s="1"/>
  <c r="O22" i="3" s="1"/>
  <c r="M21" i="3"/>
  <c r="L21" i="3"/>
  <c r="K21" i="3"/>
  <c r="J21" i="3"/>
  <c r="I21" i="3"/>
  <c r="H21" i="3"/>
  <c r="N21" i="3" s="1"/>
  <c r="O21" i="3" s="1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N19" i="3" s="1"/>
  <c r="O19" i="3" s="1"/>
  <c r="B19" i="3"/>
  <c r="M18" i="3"/>
  <c r="L18" i="3"/>
  <c r="K18" i="3"/>
  <c r="J18" i="3"/>
  <c r="I18" i="3"/>
  <c r="H18" i="3"/>
  <c r="G18" i="3"/>
  <c r="F18" i="3"/>
  <c r="E18" i="3"/>
  <c r="D18" i="3"/>
  <c r="N18" i="3" s="1"/>
  <c r="O18" i="3" s="1"/>
  <c r="C18" i="3"/>
  <c r="B18" i="3"/>
  <c r="M17" i="3"/>
  <c r="L17" i="3"/>
  <c r="K17" i="3"/>
  <c r="J17" i="3"/>
  <c r="I17" i="3"/>
  <c r="H17" i="3"/>
  <c r="N17" i="3" s="1"/>
  <c r="O17" i="3" s="1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N16" i="3" s="1"/>
  <c r="O16" i="3" s="1"/>
  <c r="M15" i="3"/>
  <c r="L15" i="3"/>
  <c r="K15" i="3"/>
  <c r="J15" i="3"/>
  <c r="I15" i="3"/>
  <c r="H15" i="3"/>
  <c r="N15" i="3" s="1"/>
  <c r="O15" i="3" s="1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N14" i="3" s="1"/>
  <c r="O14" i="3" s="1"/>
  <c r="M13" i="3"/>
  <c r="L13" i="3"/>
  <c r="K13" i="3"/>
  <c r="J13" i="3"/>
  <c r="I13" i="3"/>
  <c r="H13" i="3"/>
  <c r="N13" i="3" s="1"/>
  <c r="O13" i="3" s="1"/>
  <c r="G13" i="3"/>
  <c r="F13" i="3"/>
  <c r="E13" i="3"/>
  <c r="D13" i="3"/>
  <c r="C13" i="3"/>
  <c r="B13" i="3"/>
  <c r="M8" i="3"/>
  <c r="L8" i="3"/>
  <c r="K8" i="3"/>
  <c r="J8" i="3"/>
  <c r="I8" i="3"/>
  <c r="H8" i="3"/>
  <c r="G8" i="3"/>
  <c r="F8" i="3"/>
  <c r="E8" i="3"/>
  <c r="D8" i="3"/>
  <c r="C8" i="3"/>
  <c r="B8" i="3"/>
  <c r="N8" i="3" s="1"/>
  <c r="M7" i="3"/>
  <c r="L7" i="3"/>
  <c r="K7" i="3"/>
  <c r="J7" i="3"/>
  <c r="I7" i="3"/>
  <c r="H7" i="3"/>
  <c r="N7" i="3" s="1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N6" i="3" s="1"/>
  <c r="M5" i="3"/>
  <c r="L5" i="3"/>
  <c r="K5" i="3"/>
  <c r="J5" i="3"/>
  <c r="I5" i="3"/>
  <c r="H5" i="3"/>
  <c r="N5" i="3" s="1"/>
  <c r="G5" i="3"/>
  <c r="F5" i="3"/>
  <c r="E5" i="3"/>
  <c r="D5" i="3"/>
  <c r="C5" i="3"/>
  <c r="B5" i="3"/>
  <c r="N28" i="3"/>
  <c r="O28" i="3" s="1"/>
  <c r="N20" i="3"/>
  <c r="O20" i="3" s="1"/>
  <c r="M12" i="3"/>
  <c r="L12" i="3"/>
  <c r="K12" i="3"/>
  <c r="J12" i="3"/>
  <c r="I12" i="3"/>
  <c r="H12" i="3"/>
  <c r="G12" i="3"/>
  <c r="F12" i="3"/>
  <c r="N12" i="3" s="1"/>
  <c r="O12" i="3" s="1"/>
  <c r="E12" i="3"/>
  <c r="D12" i="3"/>
  <c r="C12" i="3"/>
  <c r="B12" i="3"/>
  <c r="M4" i="3"/>
  <c r="L4" i="3"/>
  <c r="K4" i="3"/>
  <c r="J4" i="3"/>
  <c r="I4" i="3"/>
  <c r="H4" i="3"/>
  <c r="G4" i="3"/>
  <c r="F4" i="3"/>
  <c r="E4" i="3"/>
  <c r="D4" i="3"/>
  <c r="C4" i="3"/>
  <c r="B4" i="3"/>
  <c r="N4" i="3" s="1"/>
  <c r="N3" i="3"/>
  <c r="M28" i="2"/>
  <c r="L28" i="2"/>
  <c r="K28" i="2"/>
  <c r="J28" i="2"/>
  <c r="I28" i="2"/>
  <c r="H28" i="2"/>
  <c r="G28" i="2"/>
  <c r="F28" i="2"/>
  <c r="E28" i="2"/>
  <c r="D28" i="2"/>
  <c r="C28" i="2"/>
  <c r="N28" i="2" s="1"/>
  <c r="O28" i="2" s="1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N27" i="2" s="1"/>
  <c r="O27" i="2" s="1"/>
  <c r="M26" i="2"/>
  <c r="L26" i="2"/>
  <c r="K26" i="2"/>
  <c r="J26" i="2"/>
  <c r="I26" i="2"/>
  <c r="H26" i="2"/>
  <c r="G26" i="2"/>
  <c r="F26" i="2"/>
  <c r="N26" i="2" s="1"/>
  <c r="O26" i="2" s="1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F24" i="2"/>
  <c r="N24" i="2" s="1"/>
  <c r="O24" i="2" s="1"/>
  <c r="E24" i="2"/>
  <c r="D24" i="2"/>
  <c r="C24" i="2"/>
  <c r="B24" i="2"/>
  <c r="M23" i="2"/>
  <c r="L23" i="2"/>
  <c r="K23" i="2"/>
  <c r="J23" i="2"/>
  <c r="I23" i="2"/>
  <c r="H23" i="2"/>
  <c r="G23" i="2"/>
  <c r="F23" i="2"/>
  <c r="E23" i="2"/>
  <c r="D23" i="2"/>
  <c r="C23" i="2"/>
  <c r="B23" i="2"/>
  <c r="N23" i="2" s="1"/>
  <c r="O23" i="2" s="1"/>
  <c r="M22" i="2"/>
  <c r="L22" i="2"/>
  <c r="K22" i="2"/>
  <c r="J22" i="2"/>
  <c r="I22" i="2"/>
  <c r="H22" i="2"/>
  <c r="G22" i="2"/>
  <c r="F22" i="2"/>
  <c r="N22" i="2" s="1"/>
  <c r="O22" i="2" s="1"/>
  <c r="E22" i="2"/>
  <c r="D22" i="2"/>
  <c r="C22" i="2"/>
  <c r="B22" i="2"/>
  <c r="M21" i="2"/>
  <c r="L21" i="2"/>
  <c r="K21" i="2"/>
  <c r="J21" i="2"/>
  <c r="I21" i="2"/>
  <c r="H21" i="2"/>
  <c r="G21" i="2"/>
  <c r="F21" i="2"/>
  <c r="E21" i="2"/>
  <c r="D21" i="2"/>
  <c r="C21" i="2"/>
  <c r="B21" i="2"/>
  <c r="N21" i="2" s="1"/>
  <c r="O21" i="2" s="1"/>
  <c r="M20" i="2"/>
  <c r="L20" i="2"/>
  <c r="K20" i="2"/>
  <c r="J20" i="2"/>
  <c r="I20" i="2"/>
  <c r="H20" i="2"/>
  <c r="G20" i="2"/>
  <c r="F20" i="2"/>
  <c r="E20" i="2"/>
  <c r="D20" i="2"/>
  <c r="C20" i="2"/>
  <c r="N20" i="2" s="1"/>
  <c r="O20" i="2" s="1"/>
  <c r="B20" i="2"/>
  <c r="M19" i="2"/>
  <c r="L19" i="2"/>
  <c r="K19" i="2"/>
  <c r="J19" i="2"/>
  <c r="I19" i="2"/>
  <c r="H19" i="2"/>
  <c r="G19" i="2"/>
  <c r="F19" i="2"/>
  <c r="E19" i="2"/>
  <c r="D19" i="2"/>
  <c r="C19" i="2"/>
  <c r="B19" i="2"/>
  <c r="N19" i="2" s="1"/>
  <c r="O19" i="2" s="1"/>
  <c r="M18" i="2"/>
  <c r="L18" i="2"/>
  <c r="K18" i="2"/>
  <c r="J18" i="2"/>
  <c r="I18" i="2"/>
  <c r="H18" i="2"/>
  <c r="G18" i="2"/>
  <c r="F18" i="2"/>
  <c r="N18" i="2" s="1"/>
  <c r="O18" i="2" s="1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N16" i="2" s="1"/>
  <c r="O16" i="2" s="1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N15" i="2" s="1"/>
  <c r="O15" i="2" s="1"/>
  <c r="M14" i="2"/>
  <c r="L14" i="2"/>
  <c r="K14" i="2"/>
  <c r="J14" i="2"/>
  <c r="I14" i="2"/>
  <c r="H14" i="2"/>
  <c r="G14" i="2"/>
  <c r="F14" i="2"/>
  <c r="N14" i="2" s="1"/>
  <c r="O14" i="2" s="1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  <c r="N13" i="2" s="1"/>
  <c r="O13" i="2" s="1"/>
  <c r="M12" i="2"/>
  <c r="L12" i="2"/>
  <c r="K12" i="2"/>
  <c r="J12" i="2"/>
  <c r="I12" i="2"/>
  <c r="H12" i="2"/>
  <c r="G12" i="2"/>
  <c r="F12" i="2"/>
  <c r="E12" i="2"/>
  <c r="D12" i="2"/>
  <c r="C12" i="2"/>
  <c r="N12" i="2" s="1"/>
  <c r="O12" i="2" s="1"/>
  <c r="B12" i="2"/>
  <c r="M7" i="2"/>
  <c r="L7" i="2"/>
  <c r="K7" i="2"/>
  <c r="J7" i="2"/>
  <c r="I7" i="2"/>
  <c r="H7" i="2"/>
  <c r="G7" i="2"/>
  <c r="F7" i="2"/>
  <c r="E7" i="2"/>
  <c r="D7" i="2"/>
  <c r="C7" i="2"/>
  <c r="B7" i="2"/>
  <c r="N7" i="2" s="1"/>
  <c r="M6" i="2"/>
  <c r="L6" i="2"/>
  <c r="K6" i="2"/>
  <c r="J6" i="2"/>
  <c r="I6" i="2"/>
  <c r="H6" i="2"/>
  <c r="G6" i="2"/>
  <c r="F6" i="2"/>
  <c r="N6" i="2" s="1"/>
  <c r="E6" i="2"/>
  <c r="D6" i="2"/>
  <c r="C6" i="2"/>
  <c r="B6" i="2"/>
  <c r="M5" i="2"/>
  <c r="L5" i="2"/>
  <c r="K5" i="2"/>
  <c r="J5" i="2"/>
  <c r="I5" i="2"/>
  <c r="H5" i="2"/>
  <c r="G5" i="2"/>
  <c r="F5" i="2"/>
  <c r="E5" i="2"/>
  <c r="D5" i="2"/>
  <c r="C5" i="2"/>
  <c r="B5" i="2"/>
  <c r="N5" i="2" s="1"/>
  <c r="M4" i="2"/>
  <c r="L4" i="2"/>
  <c r="K4" i="2"/>
  <c r="J4" i="2"/>
  <c r="I4" i="2"/>
  <c r="H4" i="2"/>
  <c r="G4" i="2"/>
  <c r="F4" i="2"/>
  <c r="E4" i="2"/>
  <c r="D4" i="2"/>
  <c r="C4" i="2"/>
  <c r="N4" i="2" s="1"/>
  <c r="B4" i="2"/>
  <c r="N25" i="2"/>
  <c r="O25" i="2" s="1"/>
  <c r="N17" i="2"/>
  <c r="O17" i="2" s="1"/>
  <c r="M11" i="2"/>
  <c r="L11" i="2"/>
  <c r="K11" i="2"/>
  <c r="J11" i="2"/>
  <c r="I11" i="2"/>
  <c r="H11" i="2"/>
  <c r="G11" i="2"/>
  <c r="F11" i="2"/>
  <c r="N11" i="2" s="1"/>
  <c r="O11" i="2" s="1"/>
  <c r="E11" i="2"/>
  <c r="D11" i="2"/>
  <c r="C11" i="2"/>
  <c r="B11" i="2"/>
  <c r="M3" i="2"/>
  <c r="L3" i="2"/>
  <c r="K3" i="2"/>
  <c r="J3" i="2"/>
  <c r="I3" i="2"/>
  <c r="H3" i="2"/>
  <c r="G3" i="2"/>
  <c r="F3" i="2"/>
  <c r="E3" i="2"/>
  <c r="D3" i="2"/>
  <c r="C3" i="2"/>
  <c r="B3" i="2"/>
  <c r="N3" i="2" s="1"/>
  <c r="N2" i="2"/>
  <c r="O21" i="1"/>
  <c r="O24" i="1" l="1"/>
  <c r="O18" i="1"/>
  <c r="O15" i="1"/>
  <c r="O12" i="1"/>
  <c r="L27" i="1"/>
  <c r="G27" i="1"/>
  <c r="E27" i="1"/>
  <c r="C27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L29" i="1"/>
  <c r="G29" i="1"/>
  <c r="E29" i="1"/>
  <c r="D29" i="1"/>
  <c r="F29" i="1"/>
  <c r="H29" i="1"/>
  <c r="I29" i="1"/>
  <c r="J29" i="1"/>
  <c r="K29" i="1"/>
  <c r="M29" i="1"/>
  <c r="B29" i="1"/>
  <c r="L28" i="1"/>
  <c r="G28" i="1"/>
  <c r="E28" i="1"/>
  <c r="C28" i="1"/>
  <c r="D28" i="1"/>
  <c r="F28" i="1"/>
  <c r="H28" i="1"/>
  <c r="I28" i="1"/>
  <c r="J28" i="1"/>
  <c r="K28" i="1"/>
  <c r="M28" i="1"/>
  <c r="B28" i="1"/>
  <c r="B27" i="1"/>
  <c r="D27" i="1"/>
  <c r="F27" i="1"/>
  <c r="H27" i="1"/>
  <c r="I27" i="1"/>
  <c r="J27" i="1"/>
  <c r="K27" i="1"/>
  <c r="M27" i="1"/>
  <c r="L26" i="1"/>
  <c r="G26" i="1"/>
  <c r="E26" i="1"/>
  <c r="C26" i="1"/>
  <c r="D26" i="1"/>
  <c r="F26" i="1"/>
  <c r="H26" i="1"/>
  <c r="I26" i="1"/>
  <c r="J26" i="1"/>
  <c r="K26" i="1"/>
  <c r="M26" i="1"/>
  <c r="B26" i="1"/>
  <c r="L25" i="1"/>
  <c r="G25" i="1"/>
  <c r="E25" i="1"/>
  <c r="C25" i="1"/>
  <c r="D25" i="1"/>
  <c r="F25" i="1"/>
  <c r="H25" i="1"/>
  <c r="I25" i="1"/>
  <c r="J25" i="1"/>
  <c r="K25" i="1"/>
  <c r="M25" i="1"/>
  <c r="B25" i="1"/>
  <c r="L24" i="1"/>
  <c r="J24" i="1"/>
  <c r="G24" i="1"/>
  <c r="E24" i="1"/>
  <c r="C24" i="1"/>
  <c r="D24" i="1"/>
  <c r="F24" i="1"/>
  <c r="H24" i="1"/>
  <c r="I24" i="1"/>
  <c r="K24" i="1"/>
  <c r="M24" i="1"/>
  <c r="B24" i="1"/>
  <c r="L23" i="1"/>
  <c r="G23" i="1"/>
  <c r="E23" i="1"/>
  <c r="C23" i="1"/>
  <c r="D23" i="1"/>
  <c r="F23" i="1"/>
  <c r="H23" i="1"/>
  <c r="I23" i="1"/>
  <c r="J23" i="1"/>
  <c r="K23" i="1"/>
  <c r="M23" i="1"/>
  <c r="B23" i="1"/>
  <c r="L22" i="1"/>
  <c r="G22" i="1"/>
  <c r="E22" i="1"/>
  <c r="C22" i="1"/>
  <c r="D22" i="1"/>
  <c r="F22" i="1"/>
  <c r="H22" i="1"/>
  <c r="I22" i="1"/>
  <c r="J22" i="1"/>
  <c r="K22" i="1"/>
  <c r="M22" i="1"/>
  <c r="B22" i="1"/>
  <c r="L14" i="1"/>
  <c r="J15" i="1"/>
  <c r="G14" i="1"/>
  <c r="E14" i="1"/>
  <c r="C14" i="1"/>
  <c r="D14" i="1"/>
  <c r="F14" i="1"/>
  <c r="H14" i="1"/>
  <c r="I14" i="1"/>
  <c r="J14" i="1"/>
  <c r="K14" i="1"/>
  <c r="M14" i="1"/>
  <c r="B14" i="1"/>
  <c r="L21" i="1"/>
  <c r="G21" i="1"/>
  <c r="E21" i="1"/>
  <c r="C21" i="1"/>
  <c r="D21" i="1"/>
  <c r="F21" i="1"/>
  <c r="H21" i="1"/>
  <c r="I21" i="1"/>
  <c r="J21" i="1"/>
  <c r="K21" i="1"/>
  <c r="M21" i="1"/>
  <c r="B21" i="1"/>
  <c r="L20" i="1"/>
  <c r="G20" i="1"/>
  <c r="E20" i="1"/>
  <c r="C20" i="1"/>
  <c r="D20" i="1"/>
  <c r="F20" i="1"/>
  <c r="H20" i="1"/>
  <c r="I20" i="1"/>
  <c r="J20" i="1"/>
  <c r="K20" i="1"/>
  <c r="M20" i="1"/>
  <c r="B20" i="1"/>
  <c r="L19" i="1"/>
  <c r="G19" i="1"/>
  <c r="E19" i="1"/>
  <c r="C19" i="1"/>
  <c r="D19" i="1"/>
  <c r="F19" i="1"/>
  <c r="H19" i="1"/>
  <c r="I19" i="1"/>
  <c r="J19" i="1"/>
  <c r="K19" i="1"/>
  <c r="M19" i="1"/>
  <c r="B17" i="1"/>
  <c r="B16" i="1"/>
  <c r="B19" i="1"/>
  <c r="L18" i="1"/>
  <c r="G16" i="1"/>
  <c r="G18" i="1"/>
  <c r="E18" i="1"/>
  <c r="C18" i="1"/>
  <c r="D18" i="1"/>
  <c r="F18" i="1"/>
  <c r="H18" i="1"/>
  <c r="I18" i="1"/>
  <c r="J18" i="1"/>
  <c r="K18" i="1"/>
  <c r="M18" i="1"/>
  <c r="B18" i="1"/>
  <c r="L17" i="1"/>
  <c r="G17" i="1"/>
  <c r="E17" i="1"/>
  <c r="C17" i="1"/>
  <c r="D17" i="1"/>
  <c r="F17" i="1"/>
  <c r="H17" i="1"/>
  <c r="I17" i="1"/>
  <c r="J17" i="1"/>
  <c r="K17" i="1"/>
  <c r="M17" i="1"/>
  <c r="L16" i="1"/>
  <c r="E16" i="1"/>
  <c r="C16" i="1"/>
  <c r="D16" i="1"/>
  <c r="F16" i="1"/>
  <c r="H16" i="1"/>
  <c r="I16" i="1"/>
  <c r="J16" i="1"/>
  <c r="K16" i="1"/>
  <c r="M16" i="1"/>
  <c r="L15" i="1"/>
  <c r="G15" i="1"/>
  <c r="E15" i="1"/>
  <c r="C15" i="1"/>
  <c r="D15" i="1"/>
  <c r="F15" i="1"/>
  <c r="H15" i="1"/>
  <c r="I15" i="1"/>
  <c r="K15" i="1"/>
  <c r="M15" i="1"/>
  <c r="B15" i="1"/>
  <c r="L13" i="1"/>
  <c r="G13" i="1"/>
  <c r="E13" i="1"/>
  <c r="C13" i="1"/>
  <c r="D13" i="1"/>
  <c r="F13" i="1"/>
  <c r="H13" i="1"/>
  <c r="I13" i="1"/>
  <c r="J13" i="1"/>
  <c r="K13" i="1"/>
  <c r="M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L6" i="1"/>
  <c r="G6" i="1"/>
  <c r="E6" i="1"/>
  <c r="E5" i="1"/>
  <c r="C5" i="1"/>
  <c r="C6" i="1"/>
  <c r="D6" i="1"/>
  <c r="F6" i="1"/>
  <c r="H6" i="1"/>
  <c r="I6" i="1"/>
  <c r="J6" i="1"/>
  <c r="K6" i="1"/>
  <c r="M6" i="1"/>
  <c r="B6" i="1"/>
  <c r="L5" i="1"/>
  <c r="G5" i="1"/>
  <c r="D5" i="1"/>
  <c r="F5" i="1"/>
  <c r="H5" i="1"/>
  <c r="I5" i="1"/>
  <c r="J5" i="1"/>
  <c r="K5" i="1"/>
  <c r="M5" i="1"/>
  <c r="B5" i="1"/>
  <c r="N3" i="1"/>
  <c r="C4" i="1"/>
  <c r="D4" i="1"/>
  <c r="E4" i="1"/>
  <c r="F4" i="1"/>
  <c r="G4" i="1"/>
  <c r="H4" i="1"/>
  <c r="I4" i="1"/>
  <c r="J4" i="1"/>
  <c r="K4" i="1"/>
  <c r="L4" i="1"/>
  <c r="M4" i="1"/>
  <c r="B4" i="1"/>
  <c r="N7" i="1" l="1"/>
  <c r="N8" i="1"/>
  <c r="N4" i="1"/>
  <c r="N12" i="1"/>
  <c r="N27" i="1"/>
  <c r="O27" i="1" s="1"/>
  <c r="N28" i="1"/>
  <c r="O28" i="1" s="1"/>
  <c r="N29" i="1"/>
  <c r="O29" i="1" s="1"/>
  <c r="N23" i="1"/>
  <c r="O23" i="1" s="1"/>
  <c r="N26" i="1"/>
  <c r="O26" i="1" s="1"/>
  <c r="N22" i="1"/>
  <c r="O22" i="1" s="1"/>
  <c r="N14" i="1"/>
  <c r="O14" i="1" s="1"/>
  <c r="N25" i="1"/>
  <c r="O25" i="1" s="1"/>
  <c r="N15" i="1"/>
  <c r="N16" i="1"/>
  <c r="O16" i="1" s="1"/>
  <c r="N19" i="1"/>
  <c r="O19" i="1" s="1"/>
  <c r="N17" i="1"/>
  <c r="O17" i="1" s="1"/>
  <c r="N24" i="1"/>
  <c r="N20" i="1"/>
  <c r="O20" i="1" s="1"/>
  <c r="N21" i="1"/>
  <c r="N18" i="1"/>
  <c r="N13" i="1"/>
  <c r="O13" i="1" s="1"/>
  <c r="N6" i="1"/>
  <c r="N5" i="1"/>
</calcChain>
</file>

<file path=xl/sharedStrings.xml><?xml version="1.0" encoding="utf-8"?>
<sst xmlns="http://schemas.openxmlformats.org/spreadsheetml/2006/main" count="159" uniqueCount="40">
  <si>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</si>
  <si>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</si>
  <si>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</si>
  <si>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</si>
  <si>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</si>
  <si>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</si>
  <si>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</si>
  <si>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</si>
  <si>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</si>
  <si>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</si>
  <si>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</si>
  <si>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</si>
  <si>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TOTAL</t>
  </si>
  <si>
    <t>FREE ACCOUNT (1 - 3 GEARS - NO SCALING AVAIL.)</t>
  </si>
  <si>
    <t>SILVER (3 GEARS + 1 GEAR SCALING FULL TIME)</t>
  </si>
  <si>
    <t>SILVER (3 GEARS + 1 GEAR SCALING 1/2 TIME)</t>
  </si>
  <si>
    <t>SILVER (3 GEARS + 2 GEARS SCALING 1/2 TIME)</t>
  </si>
  <si>
    <t>SILVER (3 GEARS + 2 GEARS SCALING FULL TIME)</t>
  </si>
  <si>
    <t>INDIVIDUAL STATE ACCOUNT</t>
  </si>
  <si>
    <t>WSWC ACCOUNT</t>
  </si>
  <si>
    <t>SILVER (4 GEARS, NO SCALING)</t>
  </si>
  <si>
    <t>SILVER (5 GEARS, NO SCALING)</t>
  </si>
  <si>
    <t>SILVER (WYSEO, CODWR, CATALOG - NO SCALING)</t>
  </si>
  <si>
    <t>SILVER (WYSEO, CODWR, CATALOG - 3 GEARS SCALING 1/2 TIME)</t>
  </si>
  <si>
    <t>SILVER (4 GEARS + 4 GEARS SCALING 1/2)</t>
  </si>
  <si>
    <t>SILVER (4 GEARS + 4 GEARS SCALING FULL TIME)</t>
  </si>
  <si>
    <t>SILVER (5 STATES + 5 GEARS SCALING 1/2)</t>
  </si>
  <si>
    <t>SILVER (5 GEARS + 5 GEARS SCALING FULL TIME)</t>
  </si>
  <si>
    <t>SILVER (6 GEARS, NO SCALING)</t>
  </si>
  <si>
    <t>SILVER (6 GEARS + 6 GEARS SCALING 1/2)</t>
  </si>
  <si>
    <t>SILVER (6 GEARS + 6 GEARS SCALING FULL TIME)</t>
  </si>
  <si>
    <t>SILVER (7 GEARS, NO SCALING)</t>
  </si>
  <si>
    <t>SILVER (7 GEARS + 7 GEARS SCALING 1/2)</t>
  </si>
  <si>
    <t>SILVER (7 GEARS + 7 GEARS SCALING FULL TIME)</t>
  </si>
  <si>
    <t>SILVER (WYSEO, CODWR, CATALOG - 3 GEARS SCALING FULL TIME)</t>
  </si>
  <si>
    <t>SILVER (8 GEARS, NO SCALING)</t>
  </si>
  <si>
    <t>SILVER (8 GEARS + 8 GEARS SCALING 1/2)</t>
  </si>
  <si>
    <t>SILVER (8 GEARS + 8 GEARS SCALING FULL TIME)</t>
  </si>
  <si>
    <t>SILVER (1 - 3 GEARS - W SCALING)</t>
  </si>
  <si>
    <t>PER STATE - AFTER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</si>
</sst>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2" xfId="0" applyBorder="1"/>
    <xf numFmtId="44" fontId="0" fillId="0" borderId="3" xfId="1" applyNumberFormat="1" applyFont="1" applyBorder="1"/>
    <xf numFmtId="44" fontId="2" fillId="0" borderId="3" xfId="1" applyNumberFormat="1" applyFont="1" applyBorder="1"/>
    <xf numFmtId="44" fontId="0" fillId="0" borderId="4" xfId="0" applyNumberFormat="1" applyBorder="1"/>
    <xf numFmtId="0" fontId="0" fillId="0" borderId="5" xfId="0" applyBorder="1"/>
    <xf numFmtId="44" fontId="2" fillId="0" borderId="0" xfId="1" applyNumberFormat="1" applyFont="1" applyBorder="1"/>
    <xf numFmtId="44" fontId="0" fillId="0" borderId="6" xfId="0" applyNumberFormat="1" applyBorder="1"/>
    <xf numFmtId="0" fontId="0" fillId="0" borderId="7" xfId="0" applyBorder="1"/>
    <xf numFmtId="44" fontId="2" fillId="0" borderId="8" xfId="1" applyNumberFormat="1" applyFont="1" applyBorder="1"/>
    <xf numFmtId="44" fontId="0" fillId="0" borderId="9" xfId="0" applyNumberFormat="1" applyBorder="1"/>
    <xf numFmtId="44" fontId="0" fillId="0" borderId="3" xfId="1" applyFont="1" applyBorder="1"/>
    <xf numFmtId="44" fontId="0" fillId="0" borderId="0" xfId="1" applyFont="1" applyBorder="1"/>
    <xf numFmtId="44" fontId="0" fillId="0" borderId="8" xfId="1" applyFont="1" applyBorder="1"/>
    <xf numFmtId="0" fontId="0" fillId="0" borderId="1" xfId="0" applyBorder="1"/>
    <xf numFmtId="44" fontId="0" fillId="0" borderId="1" xfId="1" applyNumberFormat="1" applyFont="1" applyBorder="1" applyAlignment="1">
      <alignment horizontal="center"/>
    </xf>
    <xf numFmtId="44" fontId="2" fillId="0" borderId="1" xfId="1" applyNumberFormat="1" applyFont="1" applyBorder="1"/>
    <xf numFmtId="44" fontId="0" fillId="0" borderId="1" xfId="1" applyNumberFormat="1" applyFont="1" applyBorder="1"/>
    <xf numFmtId="44" fontId="2" fillId="0" borderId="4" xfId="1" applyNumberFormat="1" applyFont="1" applyBorder="1"/>
    <xf numFmtId="44" fontId="0" fillId="0" borderId="8" xfId="1" applyNumberFormat="1" applyFont="1" applyBorder="1"/>
    <xf numFmtId="44" fontId="2" fillId="0" borderId="9" xfId="1" applyNumberFormat="1" applyFont="1" applyBorder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7"/>
          <c:order val="0"/>
          <c:tx>
            <c:strRef>
              <c:f>small!$A$29</c:f>
              <c:strCache>
                <c:ptCount val="1"/>
                <c:pt idx="0">
                  <c:v>SILVER (8 GEARS + 8 GEARS SCALING FULL TIME)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small!$B$29:$M$29</c:f>
              <c:numCache>
                <c:formatCode>_("$"* #,##0.00_);_("$"* \(#,##0.00\);_("$"* "-"??_);_(@_)</c:formatCode>
                <c:ptCount val="12"/>
                <c:pt idx="0">
                  <c:v>213.44</c:v>
                </c:pt>
                <c:pt idx="1">
                  <c:v>194.72000000000003</c:v>
                </c:pt>
                <c:pt idx="2">
                  <c:v>213.44</c:v>
                </c:pt>
                <c:pt idx="3">
                  <c:v>207.2</c:v>
                </c:pt>
                <c:pt idx="4">
                  <c:v>213.44</c:v>
                </c:pt>
                <c:pt idx="5">
                  <c:v>207.2</c:v>
                </c:pt>
                <c:pt idx="6">
                  <c:v>213.44</c:v>
                </c:pt>
                <c:pt idx="7">
                  <c:v>213.44</c:v>
                </c:pt>
                <c:pt idx="8">
                  <c:v>213.44</c:v>
                </c:pt>
                <c:pt idx="9">
                  <c:v>213.44</c:v>
                </c:pt>
                <c:pt idx="10">
                  <c:v>207.2</c:v>
                </c:pt>
                <c:pt idx="11">
                  <c:v>213.44</c:v>
                </c:pt>
              </c:numCache>
            </c:numRef>
          </c:yVal>
          <c:smooth val="1"/>
        </c:ser>
        <c:ser>
          <c:idx val="16"/>
          <c:order val="1"/>
          <c:tx>
            <c:strRef>
              <c:f>small!$A$28</c:f>
              <c:strCache>
                <c:ptCount val="1"/>
                <c:pt idx="0">
                  <c:v>SILVER (8 GEARS + 8 GEARS SCALING 1/2)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small!$B$28:$M$28</c:f>
              <c:numCache>
                <c:formatCode>_("$"* #,##0.00_);_("$"* \(#,##0.00\);_("$"* "-"??_);_(@_)</c:formatCode>
                <c:ptCount val="12"/>
                <c:pt idx="0">
                  <c:v>153.92000000000002</c:v>
                </c:pt>
                <c:pt idx="1">
                  <c:v>140.96</c:v>
                </c:pt>
                <c:pt idx="2">
                  <c:v>153.92000000000002</c:v>
                </c:pt>
                <c:pt idx="3">
                  <c:v>149.60000000000002</c:v>
                </c:pt>
                <c:pt idx="4">
                  <c:v>153.92000000000002</c:v>
                </c:pt>
                <c:pt idx="5">
                  <c:v>149.60000000000002</c:v>
                </c:pt>
                <c:pt idx="6">
                  <c:v>153.92000000000002</c:v>
                </c:pt>
                <c:pt idx="7">
                  <c:v>153.92000000000002</c:v>
                </c:pt>
                <c:pt idx="8">
                  <c:v>153.92000000000002</c:v>
                </c:pt>
                <c:pt idx="9">
                  <c:v>153.92000000000002</c:v>
                </c:pt>
                <c:pt idx="10">
                  <c:v>149.60000000000002</c:v>
                </c:pt>
                <c:pt idx="11">
                  <c:v>153.92000000000002</c:v>
                </c:pt>
              </c:numCache>
            </c:numRef>
          </c:yVal>
          <c:smooth val="1"/>
        </c:ser>
        <c:ser>
          <c:idx val="15"/>
          <c:order val="2"/>
          <c:tx>
            <c:strRef>
              <c:f>small!$A$27</c:f>
              <c:strCache>
                <c:ptCount val="1"/>
                <c:pt idx="0">
                  <c:v>SILVER (8 GEARS, NO SCALING)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small!$B$27:$M$27</c:f>
              <c:numCache>
                <c:formatCode>_("$"* #,##0.00_);_("$"* \(#,##0.00\);_("$"* "-"??_);_(@_)</c:formatCode>
                <c:ptCount val="12"/>
                <c:pt idx="0">
                  <c:v>94.4</c:v>
                </c:pt>
                <c:pt idx="1">
                  <c:v>87.200000000000017</c:v>
                </c:pt>
                <c:pt idx="2">
                  <c:v>94.4</c:v>
                </c:pt>
                <c:pt idx="3">
                  <c:v>92.000000000000014</c:v>
                </c:pt>
                <c:pt idx="4">
                  <c:v>94.4</c:v>
                </c:pt>
                <c:pt idx="5">
                  <c:v>92.000000000000014</c:v>
                </c:pt>
                <c:pt idx="6">
                  <c:v>94.4</c:v>
                </c:pt>
                <c:pt idx="7">
                  <c:v>94.4</c:v>
                </c:pt>
                <c:pt idx="8">
                  <c:v>94.4</c:v>
                </c:pt>
                <c:pt idx="9">
                  <c:v>94.4</c:v>
                </c:pt>
                <c:pt idx="10">
                  <c:v>92.000000000000014</c:v>
                </c:pt>
                <c:pt idx="11">
                  <c:v>94.4</c:v>
                </c:pt>
              </c:numCache>
            </c:numRef>
          </c:yVal>
          <c:smooth val="1"/>
        </c:ser>
        <c:ser>
          <c:idx val="14"/>
          <c:order val="3"/>
          <c:tx>
            <c:strRef>
              <c:f>small!$A$26</c:f>
              <c:strCache>
                <c:ptCount val="1"/>
                <c:pt idx="0">
                  <c:v>SILVER (7 GEARS + 7 GEARS SCALING FULL TIME)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small!$B$26:$M$26</c:f>
              <c:numCache>
                <c:formatCode>_("$"* #,##0.00_);_("$"* \(#,##0.00\);_("$"* "-"??_);_(@_)</c:formatCode>
                <c:ptCount val="12"/>
                <c:pt idx="0">
                  <c:v>183.68</c:v>
                </c:pt>
                <c:pt idx="1">
                  <c:v>167.84</c:v>
                </c:pt>
                <c:pt idx="2">
                  <c:v>183.68</c:v>
                </c:pt>
                <c:pt idx="3">
                  <c:v>178.4</c:v>
                </c:pt>
                <c:pt idx="4">
                  <c:v>183.68</c:v>
                </c:pt>
                <c:pt idx="5">
                  <c:v>178.4</c:v>
                </c:pt>
                <c:pt idx="6">
                  <c:v>183.68</c:v>
                </c:pt>
                <c:pt idx="7">
                  <c:v>183.68</c:v>
                </c:pt>
                <c:pt idx="8">
                  <c:v>183.68</c:v>
                </c:pt>
                <c:pt idx="9">
                  <c:v>183.68</c:v>
                </c:pt>
                <c:pt idx="10">
                  <c:v>178.4</c:v>
                </c:pt>
                <c:pt idx="11">
                  <c:v>183.68</c:v>
                </c:pt>
              </c:numCache>
            </c:numRef>
          </c:yVal>
          <c:smooth val="1"/>
        </c:ser>
        <c:ser>
          <c:idx val="13"/>
          <c:order val="4"/>
          <c:tx>
            <c:strRef>
              <c:f>small!$A$25</c:f>
              <c:strCache>
                <c:ptCount val="1"/>
                <c:pt idx="0">
                  <c:v>SILVER (7 GEARS + 7 GEARS SCALING 1/2)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small!$B$25:$M$25</c:f>
              <c:numCache>
                <c:formatCode>_("$"* #,##0.00_);_("$"* \(#,##0.00\);_("$"* "-"??_);_(@_)</c:formatCode>
                <c:ptCount val="12"/>
                <c:pt idx="0">
                  <c:v>131.6</c:v>
                </c:pt>
                <c:pt idx="1">
                  <c:v>120.8</c:v>
                </c:pt>
                <c:pt idx="2">
                  <c:v>131.6</c:v>
                </c:pt>
                <c:pt idx="3">
                  <c:v>128</c:v>
                </c:pt>
                <c:pt idx="4">
                  <c:v>131.6</c:v>
                </c:pt>
                <c:pt idx="5">
                  <c:v>128</c:v>
                </c:pt>
                <c:pt idx="6">
                  <c:v>131.6</c:v>
                </c:pt>
                <c:pt idx="7">
                  <c:v>131.6</c:v>
                </c:pt>
                <c:pt idx="8">
                  <c:v>131.6</c:v>
                </c:pt>
                <c:pt idx="9">
                  <c:v>131.6</c:v>
                </c:pt>
                <c:pt idx="10">
                  <c:v>128</c:v>
                </c:pt>
                <c:pt idx="11">
                  <c:v>131.6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small!$A$24</c:f>
              <c:strCache>
                <c:ptCount val="1"/>
                <c:pt idx="0">
                  <c:v>SILVER (7 GEARS, NO SCALING)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small!$B$24:$M$24</c:f>
              <c:numCache>
                <c:formatCode>_("$"* #,##0.00_);_("$"* \(#,##0.00\);_("$"* "-"??_);_(@_)</c:formatCode>
                <c:ptCount val="12"/>
                <c:pt idx="0">
                  <c:v>79.52</c:v>
                </c:pt>
                <c:pt idx="1">
                  <c:v>73.759999999999991</c:v>
                </c:pt>
                <c:pt idx="2">
                  <c:v>79.52</c:v>
                </c:pt>
                <c:pt idx="3">
                  <c:v>77.599999999999994</c:v>
                </c:pt>
                <c:pt idx="4">
                  <c:v>79.52</c:v>
                </c:pt>
                <c:pt idx="5">
                  <c:v>77.599999999999994</c:v>
                </c:pt>
                <c:pt idx="6">
                  <c:v>79.52</c:v>
                </c:pt>
                <c:pt idx="7">
                  <c:v>79.52</c:v>
                </c:pt>
                <c:pt idx="8">
                  <c:v>79.52</c:v>
                </c:pt>
                <c:pt idx="9">
                  <c:v>79.52</c:v>
                </c:pt>
                <c:pt idx="10">
                  <c:v>77.599999999999994</c:v>
                </c:pt>
                <c:pt idx="11">
                  <c:v>79.52</c:v>
                </c:pt>
              </c:numCache>
            </c:numRef>
          </c:yVal>
          <c:smooth val="1"/>
        </c:ser>
        <c:ser>
          <c:idx val="11"/>
          <c:order val="6"/>
          <c:tx>
            <c:strRef>
              <c:f>small!$A$23</c:f>
              <c:strCache>
                <c:ptCount val="1"/>
                <c:pt idx="0">
                  <c:v>SILVER (6 GEARS + 6 GEARS SCALING FULL TIME)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small!$B$23:$M$23</c:f>
              <c:numCache>
                <c:formatCode>_("$"* #,##0.00_);_("$"* \(#,##0.00\);_("$"* "-"??_);_(@_)</c:formatCode>
                <c:ptCount val="12"/>
                <c:pt idx="0">
                  <c:v>153.92000000000002</c:v>
                </c:pt>
                <c:pt idx="1">
                  <c:v>140.96</c:v>
                </c:pt>
                <c:pt idx="2">
                  <c:v>153.92000000000002</c:v>
                </c:pt>
                <c:pt idx="3">
                  <c:v>149.6</c:v>
                </c:pt>
                <c:pt idx="4">
                  <c:v>153.92000000000002</c:v>
                </c:pt>
                <c:pt idx="5">
                  <c:v>149.6</c:v>
                </c:pt>
                <c:pt idx="6">
                  <c:v>153.92000000000002</c:v>
                </c:pt>
                <c:pt idx="7">
                  <c:v>153.92000000000002</c:v>
                </c:pt>
                <c:pt idx="8">
                  <c:v>153.92000000000002</c:v>
                </c:pt>
                <c:pt idx="9">
                  <c:v>153.92000000000002</c:v>
                </c:pt>
                <c:pt idx="10">
                  <c:v>149.6</c:v>
                </c:pt>
                <c:pt idx="11">
                  <c:v>153.92000000000002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small!$A$22</c:f>
              <c:strCache>
                <c:ptCount val="1"/>
                <c:pt idx="0">
                  <c:v>SILVER (6 GEARS + 6 GEARS SCALING 1/2)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small!$B$22:$M$22</c:f>
              <c:numCache>
                <c:formatCode>_("$"* #,##0.00_);_("$"* \(#,##0.00\);_("$"* "-"??_);_(@_)</c:formatCode>
                <c:ptCount val="12"/>
                <c:pt idx="0">
                  <c:v>109.28</c:v>
                </c:pt>
                <c:pt idx="1">
                  <c:v>100.64</c:v>
                </c:pt>
                <c:pt idx="2">
                  <c:v>109.28</c:v>
                </c:pt>
                <c:pt idx="3">
                  <c:v>106.39999999999999</c:v>
                </c:pt>
                <c:pt idx="4">
                  <c:v>109.28</c:v>
                </c:pt>
                <c:pt idx="5">
                  <c:v>106.39999999999999</c:v>
                </c:pt>
                <c:pt idx="6">
                  <c:v>109.28</c:v>
                </c:pt>
                <c:pt idx="7">
                  <c:v>109.28</c:v>
                </c:pt>
                <c:pt idx="8">
                  <c:v>109.28</c:v>
                </c:pt>
                <c:pt idx="9">
                  <c:v>109.28</c:v>
                </c:pt>
                <c:pt idx="10">
                  <c:v>106.39999999999999</c:v>
                </c:pt>
                <c:pt idx="11">
                  <c:v>109.28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small!$A$21</c:f>
              <c:strCache>
                <c:ptCount val="1"/>
                <c:pt idx="0">
                  <c:v>SILVER (6 GEARS, NO SCALING)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small!$B$21:$M$21</c:f>
              <c:numCache>
                <c:formatCode>_("$"* #,##0.00_);_("$"* \(#,##0.00\);_("$"* "-"??_);_(@_)</c:formatCode>
                <c:ptCount val="12"/>
                <c:pt idx="0">
                  <c:v>64.64</c:v>
                </c:pt>
                <c:pt idx="1">
                  <c:v>60.32</c:v>
                </c:pt>
                <c:pt idx="2">
                  <c:v>64.64</c:v>
                </c:pt>
                <c:pt idx="3">
                  <c:v>63.199999999999996</c:v>
                </c:pt>
                <c:pt idx="4">
                  <c:v>64.64</c:v>
                </c:pt>
                <c:pt idx="5">
                  <c:v>63.199999999999996</c:v>
                </c:pt>
                <c:pt idx="6">
                  <c:v>64.64</c:v>
                </c:pt>
                <c:pt idx="7">
                  <c:v>64.64</c:v>
                </c:pt>
                <c:pt idx="8">
                  <c:v>64.64</c:v>
                </c:pt>
                <c:pt idx="9">
                  <c:v>64.64</c:v>
                </c:pt>
                <c:pt idx="10">
                  <c:v>63.199999999999996</c:v>
                </c:pt>
                <c:pt idx="11">
                  <c:v>64.64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small!$A$20</c:f>
              <c:strCache>
                <c:ptCount val="1"/>
                <c:pt idx="0">
                  <c:v>SILVER (5 GEARS + 5 GEARS SCALING FULL TIME)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small!$B$20:$M$20</c:f>
              <c:numCache>
                <c:formatCode>_("$"* #,##0.00_);_("$"* \(#,##0.00\);_("$"* "-"??_);_(@_)</c:formatCode>
                <c:ptCount val="12"/>
                <c:pt idx="0">
                  <c:v>124.16</c:v>
                </c:pt>
                <c:pt idx="1">
                  <c:v>114.08000000000001</c:v>
                </c:pt>
                <c:pt idx="2">
                  <c:v>124.16</c:v>
                </c:pt>
                <c:pt idx="3">
                  <c:v>120.80000000000001</c:v>
                </c:pt>
                <c:pt idx="4">
                  <c:v>124.16</c:v>
                </c:pt>
                <c:pt idx="5">
                  <c:v>120.80000000000001</c:v>
                </c:pt>
                <c:pt idx="6">
                  <c:v>124.16</c:v>
                </c:pt>
                <c:pt idx="7">
                  <c:v>124.16</c:v>
                </c:pt>
                <c:pt idx="8">
                  <c:v>124.16</c:v>
                </c:pt>
                <c:pt idx="9">
                  <c:v>124.16</c:v>
                </c:pt>
                <c:pt idx="10">
                  <c:v>120.80000000000001</c:v>
                </c:pt>
                <c:pt idx="11">
                  <c:v>124.16</c:v>
                </c:pt>
              </c:numCache>
            </c:numRef>
          </c:yVal>
          <c:smooth val="1"/>
        </c:ser>
        <c:ser>
          <c:idx val="7"/>
          <c:order val="10"/>
          <c:tx>
            <c:strRef>
              <c:f>small!$A$19</c:f>
              <c:strCache>
                <c:ptCount val="1"/>
                <c:pt idx="0">
                  <c:v>SILVER (5 STATES + 5 GEARS SCALING 1/2)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small!$B$19:$M$19</c:f>
              <c:numCache>
                <c:formatCode>_("$"* #,##0.00_);_("$"* \(#,##0.00\);_("$"* "-"??_);_(@_)</c:formatCode>
                <c:ptCount val="12"/>
                <c:pt idx="0">
                  <c:v>86.960000000000008</c:v>
                </c:pt>
                <c:pt idx="1">
                  <c:v>80.48</c:v>
                </c:pt>
                <c:pt idx="2">
                  <c:v>86.960000000000008</c:v>
                </c:pt>
                <c:pt idx="3">
                  <c:v>84.800000000000011</c:v>
                </c:pt>
                <c:pt idx="4">
                  <c:v>86.960000000000008</c:v>
                </c:pt>
                <c:pt idx="5">
                  <c:v>84.800000000000011</c:v>
                </c:pt>
                <c:pt idx="6">
                  <c:v>86.960000000000008</c:v>
                </c:pt>
                <c:pt idx="7">
                  <c:v>86.960000000000008</c:v>
                </c:pt>
                <c:pt idx="8">
                  <c:v>86.960000000000008</c:v>
                </c:pt>
                <c:pt idx="9">
                  <c:v>86.960000000000008</c:v>
                </c:pt>
                <c:pt idx="10">
                  <c:v>84.800000000000011</c:v>
                </c:pt>
                <c:pt idx="11">
                  <c:v>86.960000000000008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small!$A$18</c:f>
              <c:strCache>
                <c:ptCount val="1"/>
                <c:pt idx="0">
                  <c:v>SILVER (5 GEARS, NO SCALING)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small!$B$18:$M$18</c:f>
              <c:numCache>
                <c:formatCode>_("$"* #,##0.00_);_("$"* \(#,##0.00\);_("$"* "-"??_);_(@_)</c:formatCode>
                <c:ptCount val="12"/>
                <c:pt idx="0">
                  <c:v>49.76</c:v>
                </c:pt>
                <c:pt idx="1">
                  <c:v>46.879999999999995</c:v>
                </c:pt>
                <c:pt idx="2">
                  <c:v>49.76</c:v>
                </c:pt>
                <c:pt idx="3">
                  <c:v>48.8</c:v>
                </c:pt>
                <c:pt idx="4">
                  <c:v>49.76</c:v>
                </c:pt>
                <c:pt idx="5">
                  <c:v>48.8</c:v>
                </c:pt>
                <c:pt idx="6">
                  <c:v>49.76</c:v>
                </c:pt>
                <c:pt idx="7">
                  <c:v>49.76</c:v>
                </c:pt>
                <c:pt idx="8">
                  <c:v>49.76</c:v>
                </c:pt>
                <c:pt idx="9">
                  <c:v>49.76</c:v>
                </c:pt>
                <c:pt idx="10">
                  <c:v>48.8</c:v>
                </c:pt>
                <c:pt idx="11">
                  <c:v>49.76</c:v>
                </c:pt>
              </c:numCache>
            </c:numRef>
          </c:yVal>
          <c:smooth val="1"/>
        </c:ser>
        <c:ser>
          <c:idx val="5"/>
          <c:order val="12"/>
          <c:tx>
            <c:strRef>
              <c:f>small!$A$17</c:f>
              <c:strCache>
                <c:ptCount val="1"/>
                <c:pt idx="0">
                  <c:v>SILVER (4 GEARS + 4 GEARS SCALING FULL TIME)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small!$B$17:$M$17</c:f>
              <c:numCache>
                <c:formatCode>_("$"* #,##0.00_);_("$"* \(#,##0.00\);_("$"* "-"??_);_(@_)</c:formatCode>
                <c:ptCount val="12"/>
                <c:pt idx="0">
                  <c:v>94.399999999999991</c:v>
                </c:pt>
                <c:pt idx="1">
                  <c:v>87.199999999999989</c:v>
                </c:pt>
                <c:pt idx="2">
                  <c:v>94.399999999999991</c:v>
                </c:pt>
                <c:pt idx="3">
                  <c:v>92</c:v>
                </c:pt>
                <c:pt idx="4">
                  <c:v>94.399999999999991</c:v>
                </c:pt>
                <c:pt idx="5">
                  <c:v>92</c:v>
                </c:pt>
                <c:pt idx="6">
                  <c:v>94.399999999999991</c:v>
                </c:pt>
                <c:pt idx="7">
                  <c:v>94.399999999999991</c:v>
                </c:pt>
                <c:pt idx="8">
                  <c:v>94.399999999999991</c:v>
                </c:pt>
                <c:pt idx="9">
                  <c:v>94.399999999999991</c:v>
                </c:pt>
                <c:pt idx="10">
                  <c:v>92</c:v>
                </c:pt>
                <c:pt idx="11">
                  <c:v>94.399999999999991</c:v>
                </c:pt>
              </c:numCache>
            </c:numRef>
          </c:yVal>
          <c:smooth val="1"/>
        </c:ser>
        <c:ser>
          <c:idx val="4"/>
          <c:order val="13"/>
          <c:tx>
            <c:strRef>
              <c:f>small!$A$16</c:f>
              <c:strCache>
                <c:ptCount val="1"/>
                <c:pt idx="0">
                  <c:v>SILVER (4 GEARS + 4 GEARS SCALING 1/2)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multiLvlStrRef>
              <c:f>small!$B$11:$M$12</c:f>
              <c:multiLvlStrCache>
                <c:ptCount val="12"/>
                <c:lvl>
                  <c:pt idx="0">
                    <c:v> $20.00 </c:v>
                  </c:pt>
                  <c:pt idx="1">
                    <c:v> $20.00 </c:v>
                  </c:pt>
                  <c:pt idx="2">
                    <c:v> $20.00 </c:v>
                  </c:pt>
                  <c:pt idx="3">
                    <c:v> $20.00 </c:v>
                  </c:pt>
                  <c:pt idx="4">
                    <c:v> $20.00 </c:v>
                  </c:pt>
                  <c:pt idx="5">
                    <c:v> $20.00 </c:v>
                  </c:pt>
                  <c:pt idx="6">
                    <c:v> $20.00 </c:v>
                  </c:pt>
                  <c:pt idx="7">
                    <c:v> $20.00 </c:v>
                  </c:pt>
                  <c:pt idx="8">
                    <c:v> $20.00 </c:v>
                  </c:pt>
                  <c:pt idx="9">
                    <c:v> $20.00 </c:v>
                  </c:pt>
                  <c:pt idx="10">
                    <c:v> $20.00 </c:v>
                  </c:pt>
                  <c:pt idx="11">
                    <c:v> $20.00 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JULY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</c:multiLvlStrCache>
            </c:multiLvlStrRef>
          </c:xVal>
          <c:yVal>
            <c:numRef>
              <c:f>small!$B$16:$M$16</c:f>
              <c:numCache>
                <c:formatCode>_("$"* #,##0.00_);_("$"* \(#,##0.00\);_("$"* "-"??_);_(@_)</c:formatCode>
                <c:ptCount val="12"/>
                <c:pt idx="0">
                  <c:v>64.639999999999986</c:v>
                </c:pt>
                <c:pt idx="1">
                  <c:v>60.319999999999993</c:v>
                </c:pt>
                <c:pt idx="2">
                  <c:v>64.639999999999986</c:v>
                </c:pt>
                <c:pt idx="3">
                  <c:v>63.199999999999996</c:v>
                </c:pt>
                <c:pt idx="4">
                  <c:v>64.639999999999986</c:v>
                </c:pt>
                <c:pt idx="5">
                  <c:v>63.199999999999996</c:v>
                </c:pt>
                <c:pt idx="6">
                  <c:v>64.639999999999986</c:v>
                </c:pt>
                <c:pt idx="7">
                  <c:v>64.639999999999986</c:v>
                </c:pt>
                <c:pt idx="8">
                  <c:v>64.639999999999986</c:v>
                </c:pt>
                <c:pt idx="9">
                  <c:v>64.639999999999986</c:v>
                </c:pt>
                <c:pt idx="10">
                  <c:v>63.199999999999996</c:v>
                </c:pt>
                <c:pt idx="11">
                  <c:v>64.639999999999986</c:v>
                </c:pt>
              </c:numCache>
            </c:numRef>
          </c:yVal>
          <c:smooth val="1"/>
        </c:ser>
        <c:ser>
          <c:idx val="3"/>
          <c:order val="14"/>
          <c:tx>
            <c:strRef>
              <c:f>small!$A$15</c:f>
              <c:strCache>
                <c:ptCount val="1"/>
                <c:pt idx="0">
                  <c:v>SILVER (4 GEARS, NO SCALING)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6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small!$B$15:$M$15</c:f>
              <c:numCache>
                <c:formatCode>_("$"* #,##0.00_);_("$"* \(#,##0.00\);_("$"* "-"??_);_(@_)</c:formatCode>
                <c:ptCount val="12"/>
                <c:pt idx="0">
                  <c:v>34.879999999999995</c:v>
                </c:pt>
                <c:pt idx="1">
                  <c:v>33.44</c:v>
                </c:pt>
                <c:pt idx="2">
                  <c:v>34.879999999999995</c:v>
                </c:pt>
                <c:pt idx="3">
                  <c:v>34.4</c:v>
                </c:pt>
                <c:pt idx="4">
                  <c:v>34.879999999999995</c:v>
                </c:pt>
                <c:pt idx="5">
                  <c:v>34.4</c:v>
                </c:pt>
                <c:pt idx="6">
                  <c:v>34.879999999999995</c:v>
                </c:pt>
                <c:pt idx="7">
                  <c:v>34.879999999999995</c:v>
                </c:pt>
                <c:pt idx="8">
                  <c:v>34.879999999999995</c:v>
                </c:pt>
                <c:pt idx="9">
                  <c:v>34.879999999999995</c:v>
                </c:pt>
                <c:pt idx="10">
                  <c:v>34.4</c:v>
                </c:pt>
                <c:pt idx="11">
                  <c:v>34.879999999999995</c:v>
                </c:pt>
              </c:numCache>
            </c:numRef>
          </c:yVal>
          <c:smooth val="1"/>
        </c:ser>
        <c:ser>
          <c:idx val="2"/>
          <c:order val="15"/>
          <c:tx>
            <c:strRef>
              <c:f>small!$A$14</c:f>
              <c:strCache>
                <c:ptCount val="1"/>
                <c:pt idx="0">
                  <c:v>SILVER (WYSEO, CODWR, CATALOG - 3 GEARS SCALING FULL TIME)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small!$B$14:$M$14</c:f>
              <c:numCache>
                <c:formatCode>_("$"* #,##0.00_);_("$"* \(#,##0.00\);_("$"* "-"??_);_(@_)</c:formatCode>
                <c:ptCount val="12"/>
                <c:pt idx="0">
                  <c:v>64.64</c:v>
                </c:pt>
                <c:pt idx="1">
                  <c:v>60.32</c:v>
                </c:pt>
                <c:pt idx="2">
                  <c:v>64.64</c:v>
                </c:pt>
                <c:pt idx="3">
                  <c:v>63.199999999999996</c:v>
                </c:pt>
                <c:pt idx="4">
                  <c:v>64.64</c:v>
                </c:pt>
                <c:pt idx="5">
                  <c:v>63.199999999999996</c:v>
                </c:pt>
                <c:pt idx="6">
                  <c:v>64.64</c:v>
                </c:pt>
                <c:pt idx="7">
                  <c:v>64.64</c:v>
                </c:pt>
                <c:pt idx="8">
                  <c:v>64.64</c:v>
                </c:pt>
                <c:pt idx="9">
                  <c:v>64.64</c:v>
                </c:pt>
                <c:pt idx="10">
                  <c:v>63.199999999999996</c:v>
                </c:pt>
                <c:pt idx="11">
                  <c:v>64.64</c:v>
                </c:pt>
              </c:numCache>
            </c:numRef>
          </c:yVal>
          <c:smooth val="1"/>
        </c:ser>
        <c:ser>
          <c:idx val="1"/>
          <c:order val="16"/>
          <c:tx>
            <c:strRef>
              <c:f>small!$A$13</c:f>
              <c:strCache>
                <c:ptCount val="1"/>
                <c:pt idx="0">
                  <c:v>SILVER (WYSEO, CODWR, CATALOG - 3 GEARS SCALING 1/2 TIME)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small!$B$13:$M$13</c:f>
              <c:numCache>
                <c:formatCode>_("$"* #,##0.00_);_("$"* \(#,##0.00\);_("$"* "-"??_);_(@_)</c:formatCode>
                <c:ptCount val="12"/>
                <c:pt idx="0">
                  <c:v>42.32</c:v>
                </c:pt>
                <c:pt idx="1">
                  <c:v>40.159999999999997</c:v>
                </c:pt>
                <c:pt idx="2">
                  <c:v>42.32</c:v>
                </c:pt>
                <c:pt idx="3">
                  <c:v>41.599999999999994</c:v>
                </c:pt>
                <c:pt idx="4">
                  <c:v>42.32</c:v>
                </c:pt>
                <c:pt idx="5">
                  <c:v>41.599999999999994</c:v>
                </c:pt>
                <c:pt idx="6">
                  <c:v>42.32</c:v>
                </c:pt>
                <c:pt idx="7">
                  <c:v>42.32</c:v>
                </c:pt>
                <c:pt idx="8">
                  <c:v>42.32</c:v>
                </c:pt>
                <c:pt idx="9">
                  <c:v>42.32</c:v>
                </c:pt>
                <c:pt idx="10">
                  <c:v>41.599999999999994</c:v>
                </c:pt>
                <c:pt idx="11">
                  <c:v>42.32</c:v>
                </c:pt>
              </c:numCache>
            </c:numRef>
          </c:yVal>
          <c:smooth val="1"/>
        </c:ser>
        <c:ser>
          <c:idx val="0"/>
          <c:order val="17"/>
          <c:tx>
            <c:strRef>
              <c:f>small!$A$12</c:f>
              <c:strCache>
                <c:ptCount val="1"/>
                <c:pt idx="0">
                  <c:v>SILVER (WYSEO, CODWR, CATALOG - NO SCALING)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strRef>
              <c:f>small!$B$11:$M$11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small!$B$12:$M$12</c:f>
              <c:numCache>
                <c:formatCode>_("$"* #,##0.00_);_("$"* \(#,##0.00\);_("$"* "-"??_);_(@_)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79552"/>
        <c:axId val="50281472"/>
      </c:scatterChart>
      <c:valAx>
        <c:axId val="5027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50281472"/>
        <c:crosses val="autoZero"/>
        <c:crossBetween val="midCat"/>
      </c:valAx>
      <c:valAx>
        <c:axId val="502814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50279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5"/>
          <c:order val="0"/>
          <c:tx>
            <c:v>8 GEARS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xVal>
            <c:strRef>
              <c:f>small!$A$27:$A$29</c:f>
              <c:strCache>
                <c:ptCount val="3"/>
                <c:pt idx="0">
                  <c:v>SILVER (8 GEARS, NO SCALING)</c:v>
                </c:pt>
                <c:pt idx="1">
                  <c:v>SILVER (8 GEARS + 8 GEARS SCALING 1/2)</c:v>
                </c:pt>
                <c:pt idx="2">
                  <c:v>SILVER (8 GEARS + 8 GEARS SCALING FULL TIME)</c:v>
                </c:pt>
              </c:strCache>
            </c:strRef>
          </c:xVal>
          <c:yVal>
            <c:numRef>
              <c:f>small!$N$27:$N$29</c:f>
              <c:numCache>
                <c:formatCode>_("$"* #,##0.00_);_("$"* \(#,##0.00\);_("$"* "-"??_);_(@_)</c:formatCode>
                <c:ptCount val="3"/>
                <c:pt idx="0">
                  <c:v>1118.3999999999999</c:v>
                </c:pt>
                <c:pt idx="1">
                  <c:v>1821.1200000000003</c:v>
                </c:pt>
                <c:pt idx="2">
                  <c:v>2523.84</c:v>
                </c:pt>
              </c:numCache>
            </c:numRef>
          </c:yVal>
          <c:smooth val="1"/>
        </c:ser>
        <c:ser>
          <c:idx val="4"/>
          <c:order val="1"/>
          <c:tx>
            <c:v>7 GEARS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strRef>
              <c:f>small!$A$24:$A$26</c:f>
              <c:strCache>
                <c:ptCount val="3"/>
                <c:pt idx="0">
                  <c:v>SILVER (7 GEARS, NO SCALING)</c:v>
                </c:pt>
                <c:pt idx="1">
                  <c:v>SILVER (7 GEARS + 7 GEARS SCALING 1/2)</c:v>
                </c:pt>
                <c:pt idx="2">
                  <c:v>SILVER (7 GEARS + 7 GEARS SCALING FULL TIME)</c:v>
                </c:pt>
              </c:strCache>
            </c:strRef>
          </c:xVal>
          <c:yVal>
            <c:numRef>
              <c:f>small!$N$24:$N$26</c:f>
              <c:numCache>
                <c:formatCode>_("$"* #,##0.00_);_("$"* \(#,##0.00\);_("$"* "-"??_);_(@_)</c:formatCode>
                <c:ptCount val="3"/>
                <c:pt idx="0">
                  <c:v>942.71999999999991</c:v>
                </c:pt>
                <c:pt idx="1">
                  <c:v>1557.5999999999997</c:v>
                </c:pt>
                <c:pt idx="2">
                  <c:v>2172.4800000000005</c:v>
                </c:pt>
              </c:numCache>
            </c:numRef>
          </c:yVal>
          <c:smooth val="1"/>
        </c:ser>
        <c:ser>
          <c:idx val="3"/>
          <c:order val="2"/>
          <c:tx>
            <c:v>6 GEARS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strRef>
              <c:f>small!$A$21:$A$23</c:f>
              <c:strCache>
                <c:ptCount val="3"/>
                <c:pt idx="0">
                  <c:v>SILVER (6 GEARS, NO SCALING)</c:v>
                </c:pt>
                <c:pt idx="1">
                  <c:v>SILVER (6 GEARS + 6 GEARS SCALING 1/2)</c:v>
                </c:pt>
                <c:pt idx="2">
                  <c:v>SILVER (6 GEARS + 6 GEARS SCALING FULL TIME)</c:v>
                </c:pt>
              </c:strCache>
            </c:strRef>
          </c:xVal>
          <c:yVal>
            <c:numRef>
              <c:f>small!$N$21:$N$23</c:f>
              <c:numCache>
                <c:formatCode>_("$"* #,##0.00_);_("$"* \(#,##0.00\);_("$"* "-"??_);_(@_)</c:formatCode>
                <c:ptCount val="3"/>
                <c:pt idx="0">
                  <c:v>767.04</c:v>
                </c:pt>
                <c:pt idx="1">
                  <c:v>1294.08</c:v>
                </c:pt>
                <c:pt idx="2">
                  <c:v>1821.1200000000001</c:v>
                </c:pt>
              </c:numCache>
            </c:numRef>
          </c:yVal>
          <c:smooth val="1"/>
        </c:ser>
        <c:ser>
          <c:idx val="2"/>
          <c:order val="3"/>
          <c:tx>
            <c:v>5 GEARS</c:v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strRef>
              <c:f>small!$A$18:$A$20</c:f>
              <c:strCache>
                <c:ptCount val="3"/>
                <c:pt idx="0">
                  <c:v>SILVER (5 GEARS, NO SCALING)</c:v>
                </c:pt>
                <c:pt idx="1">
                  <c:v>SILVER (5 STATES + 5 GEARS SCALING 1/2)</c:v>
                </c:pt>
                <c:pt idx="2">
                  <c:v>SILVER (5 GEARS + 5 GEARS SCALING FULL TIME)</c:v>
                </c:pt>
              </c:strCache>
            </c:strRef>
          </c:xVal>
          <c:yVal>
            <c:numRef>
              <c:f>small!$N$18:$N$20</c:f>
              <c:numCache>
                <c:formatCode>_("$"* #,##0.00_);_("$"* \(#,##0.00\);_("$"* "-"??_);_(@_)</c:formatCode>
                <c:ptCount val="3"/>
                <c:pt idx="0">
                  <c:v>591.3599999999999</c:v>
                </c:pt>
                <c:pt idx="1">
                  <c:v>1030.5600000000002</c:v>
                </c:pt>
                <c:pt idx="2">
                  <c:v>1469.7600000000002</c:v>
                </c:pt>
              </c:numCache>
            </c:numRef>
          </c:yVal>
          <c:smooth val="1"/>
        </c:ser>
        <c:ser>
          <c:idx val="1"/>
          <c:order val="4"/>
          <c:tx>
            <c:v>4 GEARS</c:v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strRef>
              <c:f>small!$A$15:$A$17</c:f>
              <c:strCache>
                <c:ptCount val="3"/>
                <c:pt idx="0">
                  <c:v>SILVER (4 GEARS, NO SCALING)</c:v>
                </c:pt>
                <c:pt idx="1">
                  <c:v>SILVER (4 GEARS + 4 GEARS SCALING 1/2)</c:v>
                </c:pt>
                <c:pt idx="2">
                  <c:v>SILVER (4 GEARS + 4 GEARS SCALING FULL TIME)</c:v>
                </c:pt>
              </c:strCache>
            </c:strRef>
          </c:xVal>
          <c:yVal>
            <c:numRef>
              <c:f>small!$N$15:$N$17</c:f>
              <c:numCache>
                <c:formatCode>_("$"* #,##0.00_);_("$"* \(#,##0.00\);_("$"* "-"??_);_(@_)</c:formatCode>
                <c:ptCount val="3"/>
                <c:pt idx="0">
                  <c:v>415.67999999999995</c:v>
                </c:pt>
                <c:pt idx="1">
                  <c:v>767.04</c:v>
                </c:pt>
                <c:pt idx="2">
                  <c:v>1118.3999999999999</c:v>
                </c:pt>
              </c:numCache>
            </c:numRef>
          </c:yVal>
          <c:smooth val="1"/>
        </c:ser>
        <c:ser>
          <c:idx val="0"/>
          <c:order val="5"/>
          <c:tx>
            <c:v>3 GEARS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strRef>
              <c:f>small!$A$12:$A$14</c:f>
              <c:strCache>
                <c:ptCount val="3"/>
                <c:pt idx="0">
                  <c:v>SILVER (WYSEO, CODWR, CATALOG - NO SCALING)</c:v>
                </c:pt>
                <c:pt idx="1">
                  <c:v>SILVER (WYSEO, CODWR, CATALOG - 3 GEARS SCALING 1/2 TIME)</c:v>
                </c:pt>
                <c:pt idx="2">
                  <c:v>SILVER (WYSEO, CODWR, CATALOG - 3 GEARS SCALING FULL TIME)</c:v>
                </c:pt>
              </c:strCache>
            </c:strRef>
          </c:xVal>
          <c:yVal>
            <c:numRef>
              <c:f>small!$N$12:$N$14</c:f>
              <c:numCache>
                <c:formatCode>_("$"* #,##0.00_);_("$"* \(#,##0.00\);_("$"* "-"??_);_(@_)</c:formatCode>
                <c:ptCount val="3"/>
                <c:pt idx="0">
                  <c:v>240</c:v>
                </c:pt>
                <c:pt idx="1">
                  <c:v>503.51999999999992</c:v>
                </c:pt>
                <c:pt idx="2">
                  <c:v>767.04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9856"/>
        <c:axId val="50856320"/>
      </c:scatterChart>
      <c:valAx>
        <c:axId val="50329856"/>
        <c:scaling>
          <c:orientation val="minMax"/>
          <c:max val="3"/>
          <c:min val="1"/>
        </c:scaling>
        <c:delete val="0"/>
        <c:axPos val="b"/>
        <c:majorTickMark val="out"/>
        <c:minorTickMark val="none"/>
        <c:tickLblPos val="nextTo"/>
        <c:crossAx val="50856320"/>
        <c:crosses val="autoZero"/>
        <c:crossBetween val="midCat"/>
        <c:majorUnit val="1"/>
        <c:minorUnit val="0.1"/>
      </c:valAx>
      <c:valAx>
        <c:axId val="5085632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50329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31</xdr:row>
      <xdr:rowOff>49530</xdr:rowOff>
    </xdr:from>
    <xdr:to>
      <xdr:col>9</xdr:col>
      <xdr:colOff>289560</xdr:colOff>
      <xdr:row>72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220980</xdr:colOff>
      <xdr:row>12</xdr:row>
      <xdr:rowOff>95250</xdr:rowOff>
    </xdr:from>
    <xdr:to>
      <xdr:col>22</xdr:col>
      <xdr:colOff>525780</xdr:colOff>
      <xdr:row>27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topLeftCell="A7" workbookViewId="0">
      <selection activeCell="A11" sqref="A11"/>
    </sheetView>
  </sheetViews>
  <sheetFormatPr defaultRowHeight="14.4" x14ac:dyDescent="0.3"/>
  <cols>
    <col min="1" max="1" width="55.33203125" customWidth="1"/>
    <col min="2" max="14" width="11.88671875" customWidth="1"/>
    <col min="15" max="15" width="14.109375" customWidth="1"/>
  </cols>
  <sheetData>
    <row r="2" spans="1:15" s="1" customFormat="1" x14ac:dyDescent="0.3">
      <c r="A2" s="1" t="s">
        <v>18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</row>
    <row r="3" spans="1:15" x14ac:dyDescent="0.3">
      <c r="A3" s="16" t="s">
        <v>13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8">
        <f>SUM(B3:M3)</f>
        <v>0</v>
      </c>
    </row>
    <row r="4" spans="1:15" x14ac:dyDescent="0.3">
      <c r="A4" s="16" t="s">
        <v>38</v>
      </c>
      <c r="B4" s="19">
        <f>20</f>
        <v>20</v>
      </c>
      <c r="C4" s="19">
        <f>20</f>
        <v>20</v>
      </c>
      <c r="D4" s="19">
        <f>20</f>
        <v>20</v>
      </c>
      <c r="E4" s="19">
        <f>20</f>
        <v>20</v>
      </c>
      <c r="F4" s="19">
        <f>20</f>
        <v>20</v>
      </c>
      <c r="G4" s="19">
        <f>20</f>
        <v>20</v>
      </c>
      <c r="H4" s="19">
        <f>20</f>
        <v>20</v>
      </c>
      <c r="I4" s="19">
        <f>20</f>
        <v>20</v>
      </c>
      <c r="J4" s="19">
        <f>20</f>
        <v>20</v>
      </c>
      <c r="K4" s="19">
        <f>20</f>
        <v>20</v>
      </c>
      <c r="L4" s="19">
        <f>20</f>
        <v>20</v>
      </c>
      <c r="M4" s="19">
        <f>20</f>
        <v>20</v>
      </c>
      <c r="N4" s="18">
        <f>SUM(B4:M4)</f>
        <v>240</v>
      </c>
    </row>
    <row r="5" spans="1:15" x14ac:dyDescent="0.3">
      <c r="A5" s="3" t="s">
        <v>15</v>
      </c>
      <c r="B5" s="4">
        <f>20+(0.02*12*31)</f>
        <v>27.439999999999998</v>
      </c>
      <c r="C5" s="4">
        <f>20+(0.02*12*28)</f>
        <v>26.72</v>
      </c>
      <c r="D5" s="4">
        <f t="shared" ref="D5:M5" si="0">20+(0.02*12*31)</f>
        <v>27.439999999999998</v>
      </c>
      <c r="E5" s="4">
        <f>20+(0.02*12*30)</f>
        <v>27.2</v>
      </c>
      <c r="F5" s="4">
        <f t="shared" si="0"/>
        <v>27.439999999999998</v>
      </c>
      <c r="G5" s="4">
        <f>20+(0.02*12*30)</f>
        <v>27.2</v>
      </c>
      <c r="H5" s="4">
        <f t="shared" si="0"/>
        <v>27.439999999999998</v>
      </c>
      <c r="I5" s="4">
        <f t="shared" si="0"/>
        <v>27.439999999999998</v>
      </c>
      <c r="J5" s="4">
        <f t="shared" si="0"/>
        <v>27.439999999999998</v>
      </c>
      <c r="K5" s="4">
        <f t="shared" si="0"/>
        <v>27.439999999999998</v>
      </c>
      <c r="L5" s="4">
        <f>20+(0.02*12*30)</f>
        <v>27.2</v>
      </c>
      <c r="M5" s="4">
        <f t="shared" si="0"/>
        <v>27.439999999999998</v>
      </c>
      <c r="N5" s="20">
        <f t="shared" ref="N5:N8" si="1">SUM(B5:M5)</f>
        <v>327.84</v>
      </c>
    </row>
    <row r="6" spans="1:15" x14ac:dyDescent="0.3">
      <c r="A6" s="10" t="s">
        <v>14</v>
      </c>
      <c r="B6" s="21">
        <f>20+(0.02*24*31)</f>
        <v>34.879999999999995</v>
      </c>
      <c r="C6" s="21">
        <f>20+(0.02*24*28)</f>
        <v>33.44</v>
      </c>
      <c r="D6" s="21">
        <f t="shared" ref="D6:M7" si="2">20+(0.02*24*31)</f>
        <v>34.879999999999995</v>
      </c>
      <c r="E6" s="21">
        <f>20+(0.02*24*30)</f>
        <v>34.4</v>
      </c>
      <c r="F6" s="21">
        <f t="shared" si="2"/>
        <v>34.879999999999995</v>
      </c>
      <c r="G6" s="21">
        <f>20+(0.02*24*30)</f>
        <v>34.4</v>
      </c>
      <c r="H6" s="21">
        <f t="shared" si="2"/>
        <v>34.879999999999995</v>
      </c>
      <c r="I6" s="21">
        <f t="shared" si="2"/>
        <v>34.879999999999995</v>
      </c>
      <c r="J6" s="21">
        <f t="shared" si="2"/>
        <v>34.879999999999995</v>
      </c>
      <c r="K6" s="21">
        <f t="shared" si="2"/>
        <v>34.879999999999995</v>
      </c>
      <c r="L6" s="21">
        <f>20+(0.02*24*30)</f>
        <v>34.4</v>
      </c>
      <c r="M6" s="21">
        <f t="shared" si="2"/>
        <v>34.879999999999995</v>
      </c>
      <c r="N6" s="22">
        <f t="shared" si="1"/>
        <v>415.67999999999995</v>
      </c>
    </row>
    <row r="7" spans="1:15" x14ac:dyDescent="0.3">
      <c r="A7" s="3" t="s">
        <v>16</v>
      </c>
      <c r="B7" s="13">
        <f>20+(0.02*24*31)</f>
        <v>34.879999999999995</v>
      </c>
      <c r="C7" s="13">
        <f>20+(0.02*24*28)</f>
        <v>33.44</v>
      </c>
      <c r="D7" s="13">
        <f t="shared" si="2"/>
        <v>34.879999999999995</v>
      </c>
      <c r="E7" s="13">
        <f>20+(0.02*24*30)</f>
        <v>34.4</v>
      </c>
      <c r="F7" s="13">
        <f t="shared" si="2"/>
        <v>34.879999999999995</v>
      </c>
      <c r="G7" s="13">
        <f>20+(0.02*24*30)</f>
        <v>34.4</v>
      </c>
      <c r="H7" s="13">
        <f t="shared" si="2"/>
        <v>34.879999999999995</v>
      </c>
      <c r="I7" s="13">
        <f t="shared" si="2"/>
        <v>34.879999999999995</v>
      </c>
      <c r="J7" s="13">
        <f t="shared" si="2"/>
        <v>34.879999999999995</v>
      </c>
      <c r="K7" s="13">
        <f t="shared" si="2"/>
        <v>34.879999999999995</v>
      </c>
      <c r="L7" s="13">
        <f>20+(0.02*24*30)</f>
        <v>34.4</v>
      </c>
      <c r="M7" s="13">
        <f t="shared" si="2"/>
        <v>34.879999999999995</v>
      </c>
      <c r="N7" s="20">
        <f t="shared" si="1"/>
        <v>415.67999999999995</v>
      </c>
    </row>
    <row r="8" spans="1:15" x14ac:dyDescent="0.3">
      <c r="A8" s="10" t="s">
        <v>17</v>
      </c>
      <c r="B8" s="15">
        <f>20+(0.02*24*2*31)</f>
        <v>49.76</v>
      </c>
      <c r="C8" s="15">
        <f>20+(0.02*24*2*28)</f>
        <v>46.879999999999995</v>
      </c>
      <c r="D8" s="15">
        <f t="shared" ref="D8:M8" si="3">20+(0.02*24*2*31)</f>
        <v>49.76</v>
      </c>
      <c r="E8" s="15">
        <f>20+(0.02*24*2*30)</f>
        <v>48.8</v>
      </c>
      <c r="F8" s="15">
        <f t="shared" si="3"/>
        <v>49.76</v>
      </c>
      <c r="G8" s="15">
        <f>20+(0.02*24*2*30)</f>
        <v>48.8</v>
      </c>
      <c r="H8" s="15">
        <f t="shared" si="3"/>
        <v>49.76</v>
      </c>
      <c r="I8" s="15">
        <f t="shared" si="3"/>
        <v>49.76</v>
      </c>
      <c r="J8" s="15">
        <f t="shared" si="3"/>
        <v>49.76</v>
      </c>
      <c r="K8" s="15">
        <f t="shared" si="3"/>
        <v>49.76</v>
      </c>
      <c r="L8" s="15">
        <f>20+(0.02*24*2*30)</f>
        <v>48.8</v>
      </c>
      <c r="M8" s="15">
        <f t="shared" si="3"/>
        <v>49.76</v>
      </c>
      <c r="N8" s="22">
        <f t="shared" si="1"/>
        <v>591.3599999999999</v>
      </c>
    </row>
    <row r="9" spans="1:15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s="1" customFormat="1" ht="28.8" x14ac:dyDescent="0.3">
      <c r="A11" s="1" t="s">
        <v>19</v>
      </c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3" t="s">
        <v>12</v>
      </c>
      <c r="O11" s="25" t="s">
        <v>39</v>
      </c>
    </row>
    <row r="12" spans="1:15" x14ac:dyDescent="0.3">
      <c r="A12" s="3" t="s">
        <v>22</v>
      </c>
      <c r="B12" s="13">
        <f>20</f>
        <v>20</v>
      </c>
      <c r="C12" s="13">
        <f>20</f>
        <v>20</v>
      </c>
      <c r="D12" s="13">
        <f>20</f>
        <v>20</v>
      </c>
      <c r="E12" s="13">
        <f>20</f>
        <v>20</v>
      </c>
      <c r="F12" s="13">
        <f>20</f>
        <v>20</v>
      </c>
      <c r="G12" s="13">
        <f>20</f>
        <v>20</v>
      </c>
      <c r="H12" s="13">
        <f>20</f>
        <v>20</v>
      </c>
      <c r="I12" s="13">
        <f>20</f>
        <v>20</v>
      </c>
      <c r="J12" s="13">
        <f>20</f>
        <v>20</v>
      </c>
      <c r="K12" s="13">
        <f>20</f>
        <v>20</v>
      </c>
      <c r="L12" s="13">
        <f>20</f>
        <v>20</v>
      </c>
      <c r="M12" s="13">
        <f>20</f>
        <v>20</v>
      </c>
      <c r="N12" s="5">
        <f>SUM(B12:M12)</f>
        <v>240</v>
      </c>
      <c r="O12" s="6">
        <f>N12/3</f>
        <v>80</v>
      </c>
    </row>
    <row r="13" spans="1:15" x14ac:dyDescent="0.3">
      <c r="A13" s="7" t="s">
        <v>23</v>
      </c>
      <c r="B13" s="14">
        <f>20+(0.02*12*3*31)</f>
        <v>42.32</v>
      </c>
      <c r="C13" s="14">
        <f>20+(0.02*12*3*28)</f>
        <v>40.159999999999997</v>
      </c>
      <c r="D13" s="14">
        <f t="shared" ref="D13:M13" si="4">20+(0.02*12*3*31)</f>
        <v>42.32</v>
      </c>
      <c r="E13" s="14">
        <f>20+(0.02*12*3*30)</f>
        <v>41.599999999999994</v>
      </c>
      <c r="F13" s="14">
        <f t="shared" si="4"/>
        <v>42.32</v>
      </c>
      <c r="G13" s="14">
        <f>20+(0.02*12*3*30)</f>
        <v>41.599999999999994</v>
      </c>
      <c r="H13" s="14">
        <f t="shared" si="4"/>
        <v>42.32</v>
      </c>
      <c r="I13" s="14">
        <f t="shared" si="4"/>
        <v>42.32</v>
      </c>
      <c r="J13" s="14">
        <f t="shared" si="4"/>
        <v>42.32</v>
      </c>
      <c r="K13" s="14">
        <f t="shared" si="4"/>
        <v>42.32</v>
      </c>
      <c r="L13" s="14">
        <f>20+(0.02*12*3*30)</f>
        <v>41.599999999999994</v>
      </c>
      <c r="M13" s="14">
        <f t="shared" si="4"/>
        <v>42.32</v>
      </c>
      <c r="N13" s="8">
        <f>SUM(B13:M13)</f>
        <v>503.51999999999992</v>
      </c>
      <c r="O13" s="9">
        <f t="shared" ref="O13:O14" si="5">N13/3</f>
        <v>167.83999999999997</v>
      </c>
    </row>
    <row r="14" spans="1:15" x14ac:dyDescent="0.3">
      <c r="A14" s="10" t="s">
        <v>34</v>
      </c>
      <c r="B14" s="15">
        <f>20+(3*0.02*24*31)</f>
        <v>64.64</v>
      </c>
      <c r="C14" s="15">
        <f>20+(3*0.02*24*28)</f>
        <v>60.32</v>
      </c>
      <c r="D14" s="15">
        <f t="shared" ref="D14:M14" si="6">20+(3*0.02*24*31)</f>
        <v>64.64</v>
      </c>
      <c r="E14" s="15">
        <f>20+(3*0.02*24*30)</f>
        <v>63.199999999999996</v>
      </c>
      <c r="F14" s="15">
        <f t="shared" si="6"/>
        <v>64.64</v>
      </c>
      <c r="G14" s="15">
        <f>20+(3*0.02*24*30)</f>
        <v>63.199999999999996</v>
      </c>
      <c r="H14" s="15">
        <f t="shared" si="6"/>
        <v>64.64</v>
      </c>
      <c r="I14" s="15">
        <f t="shared" si="6"/>
        <v>64.64</v>
      </c>
      <c r="J14" s="15">
        <f t="shared" si="6"/>
        <v>64.64</v>
      </c>
      <c r="K14" s="15">
        <f t="shared" si="6"/>
        <v>64.64</v>
      </c>
      <c r="L14" s="15">
        <f>20+(3*0.02*24*30)</f>
        <v>63.199999999999996</v>
      </c>
      <c r="M14" s="15">
        <f t="shared" si="6"/>
        <v>64.64</v>
      </c>
      <c r="N14" s="11">
        <f>SUM(B14:M14)</f>
        <v>767.04</v>
      </c>
      <c r="O14" s="12">
        <f t="shared" si="5"/>
        <v>255.67999999999998</v>
      </c>
    </row>
    <row r="15" spans="1:15" x14ac:dyDescent="0.3">
      <c r="A15" s="3" t="s">
        <v>20</v>
      </c>
      <c r="B15" s="13">
        <f>20 + (0.02*24*31)</f>
        <v>34.879999999999995</v>
      </c>
      <c r="C15" s="13">
        <f>20 + (0.02*24*28)</f>
        <v>33.44</v>
      </c>
      <c r="D15" s="13">
        <f t="shared" ref="D15:M15" si="7">20 + (0.02*24*31)</f>
        <v>34.879999999999995</v>
      </c>
      <c r="E15" s="13">
        <f>20 + (0.02*24*30)</f>
        <v>34.4</v>
      </c>
      <c r="F15" s="13">
        <f t="shared" si="7"/>
        <v>34.879999999999995</v>
      </c>
      <c r="G15" s="13">
        <f>20 + (0.02*24*30)</f>
        <v>34.4</v>
      </c>
      <c r="H15" s="13">
        <f t="shared" si="7"/>
        <v>34.879999999999995</v>
      </c>
      <c r="I15" s="13">
        <f t="shared" si="7"/>
        <v>34.879999999999995</v>
      </c>
      <c r="J15" s="13">
        <f>20 + (0.02*24*31)</f>
        <v>34.879999999999995</v>
      </c>
      <c r="K15" s="13">
        <f t="shared" si="7"/>
        <v>34.879999999999995</v>
      </c>
      <c r="L15" s="13">
        <f>20 + (0.02*24*30)</f>
        <v>34.4</v>
      </c>
      <c r="M15" s="13">
        <f t="shared" si="7"/>
        <v>34.879999999999995</v>
      </c>
      <c r="N15" s="5">
        <f>SUM(B15:M15)</f>
        <v>415.67999999999995</v>
      </c>
      <c r="O15" s="6">
        <f>N15/4</f>
        <v>103.91999999999999</v>
      </c>
    </row>
    <row r="16" spans="1:15" x14ac:dyDescent="0.3">
      <c r="A16" s="7" t="s">
        <v>24</v>
      </c>
      <c r="B16" s="14">
        <f>20+(0.02*24*31)+(4*0.02*12*31)</f>
        <v>64.639999999999986</v>
      </c>
      <c r="C16" s="14">
        <f>20+(0.02*24*28)+(4*0.02*12*28)</f>
        <v>60.319999999999993</v>
      </c>
      <c r="D16" s="14">
        <f t="shared" ref="D16:M16" si="8">20+(0.02*24*31)+(4*0.02*12*31)</f>
        <v>64.639999999999986</v>
      </c>
      <c r="E16" s="14">
        <f>20+(0.02*24*30)+(4*0.02*12*30)</f>
        <v>63.199999999999996</v>
      </c>
      <c r="F16" s="14">
        <f t="shared" si="8"/>
        <v>64.639999999999986</v>
      </c>
      <c r="G16" s="14">
        <f>20+(0.02*24*30)+(4*0.02*12*30)</f>
        <v>63.199999999999996</v>
      </c>
      <c r="H16" s="14">
        <f t="shared" si="8"/>
        <v>64.639999999999986</v>
      </c>
      <c r="I16" s="14">
        <f t="shared" si="8"/>
        <v>64.639999999999986</v>
      </c>
      <c r="J16" s="14">
        <f t="shared" si="8"/>
        <v>64.639999999999986</v>
      </c>
      <c r="K16" s="14">
        <f t="shared" si="8"/>
        <v>64.639999999999986</v>
      </c>
      <c r="L16" s="14">
        <f>20+(0.02*24*30)+(4*0.02*12*30)</f>
        <v>63.199999999999996</v>
      </c>
      <c r="M16" s="14">
        <f t="shared" si="8"/>
        <v>64.639999999999986</v>
      </c>
      <c r="N16" s="8">
        <f t="shared" ref="N16:N26" si="9">SUM(B16:M16)</f>
        <v>767.04</v>
      </c>
      <c r="O16" s="9">
        <f t="shared" ref="O16:O17" si="10">N16/4</f>
        <v>191.76</v>
      </c>
    </row>
    <row r="17" spans="1:15" x14ac:dyDescent="0.3">
      <c r="A17" s="10" t="s">
        <v>25</v>
      </c>
      <c r="B17" s="15">
        <f>20+(0.02*24*31)+(4*0.02*24*31)</f>
        <v>94.399999999999991</v>
      </c>
      <c r="C17" s="15">
        <f>20+(0.02*24*28)+(4*0.02*24*28)</f>
        <v>87.199999999999989</v>
      </c>
      <c r="D17" s="15">
        <f t="shared" ref="D17:M17" si="11">20+(0.02*24*31)+(4*0.02*24*31)</f>
        <v>94.399999999999991</v>
      </c>
      <c r="E17" s="15">
        <f>20+(0.02*24*30)+(4*0.02*24*30)</f>
        <v>92</v>
      </c>
      <c r="F17" s="15">
        <f t="shared" si="11"/>
        <v>94.399999999999991</v>
      </c>
      <c r="G17" s="15">
        <f>20+(0.02*24*30)+(4*0.02*24*30)</f>
        <v>92</v>
      </c>
      <c r="H17" s="15">
        <f t="shared" si="11"/>
        <v>94.399999999999991</v>
      </c>
      <c r="I17" s="15">
        <f t="shared" si="11"/>
        <v>94.399999999999991</v>
      </c>
      <c r="J17" s="15">
        <f t="shared" si="11"/>
        <v>94.399999999999991</v>
      </c>
      <c r="K17" s="15">
        <f t="shared" si="11"/>
        <v>94.399999999999991</v>
      </c>
      <c r="L17" s="15">
        <f>20+(0.02*24*30)+(4*0.02*24*30)</f>
        <v>92</v>
      </c>
      <c r="M17" s="15">
        <f t="shared" si="11"/>
        <v>94.399999999999991</v>
      </c>
      <c r="N17" s="11">
        <f t="shared" si="9"/>
        <v>1118.3999999999999</v>
      </c>
      <c r="O17" s="12">
        <f t="shared" si="10"/>
        <v>279.59999999999997</v>
      </c>
    </row>
    <row r="18" spans="1:15" x14ac:dyDescent="0.3">
      <c r="A18" s="3" t="s">
        <v>21</v>
      </c>
      <c r="B18" s="13">
        <f>20+(2*0.02*24*31)</f>
        <v>49.76</v>
      </c>
      <c r="C18" s="13">
        <f>20+(2*0.02*24*28)</f>
        <v>46.879999999999995</v>
      </c>
      <c r="D18" s="13">
        <f t="shared" ref="D18:M18" si="12">20+(2*0.02*24*31)</f>
        <v>49.76</v>
      </c>
      <c r="E18" s="13">
        <f>20+(2*0.02*24*30)</f>
        <v>48.8</v>
      </c>
      <c r="F18" s="13">
        <f t="shared" si="12"/>
        <v>49.76</v>
      </c>
      <c r="G18" s="13">
        <f>20+(2*0.02*24*30)</f>
        <v>48.8</v>
      </c>
      <c r="H18" s="13">
        <f t="shared" si="12"/>
        <v>49.76</v>
      </c>
      <c r="I18" s="13">
        <f t="shared" si="12"/>
        <v>49.76</v>
      </c>
      <c r="J18" s="13">
        <f t="shared" si="12"/>
        <v>49.76</v>
      </c>
      <c r="K18" s="13">
        <f t="shared" si="12"/>
        <v>49.76</v>
      </c>
      <c r="L18" s="13">
        <f>20+(2*0.02*24*30)</f>
        <v>48.8</v>
      </c>
      <c r="M18" s="13">
        <f t="shared" si="12"/>
        <v>49.76</v>
      </c>
      <c r="N18" s="5">
        <f t="shared" si="9"/>
        <v>591.3599999999999</v>
      </c>
      <c r="O18" s="6">
        <f>N18/5</f>
        <v>118.27199999999998</v>
      </c>
    </row>
    <row r="19" spans="1:15" x14ac:dyDescent="0.3">
      <c r="A19" s="7" t="s">
        <v>26</v>
      </c>
      <c r="B19" s="14">
        <f>20+(2*0.02*24*31)+(5*0.02*12*31)</f>
        <v>86.960000000000008</v>
      </c>
      <c r="C19" s="14">
        <f>20+(2*0.02*24*28)+(5*0.02*12*28)</f>
        <v>80.48</v>
      </c>
      <c r="D19" s="14">
        <f t="shared" ref="D19:M19" si="13">20+(2*0.02*24*31)+(5*0.02*12*31)</f>
        <v>86.960000000000008</v>
      </c>
      <c r="E19" s="14">
        <f>20+(2*0.02*24*30)+(5*0.02*12*30)</f>
        <v>84.800000000000011</v>
      </c>
      <c r="F19" s="14">
        <f t="shared" si="13"/>
        <v>86.960000000000008</v>
      </c>
      <c r="G19" s="14">
        <f>20+(2*0.02*24*30)+(5*0.02*12*30)</f>
        <v>84.800000000000011</v>
      </c>
      <c r="H19" s="14">
        <f t="shared" si="13"/>
        <v>86.960000000000008</v>
      </c>
      <c r="I19" s="14">
        <f t="shared" si="13"/>
        <v>86.960000000000008</v>
      </c>
      <c r="J19" s="14">
        <f t="shared" si="13"/>
        <v>86.960000000000008</v>
      </c>
      <c r="K19" s="14">
        <f t="shared" si="13"/>
        <v>86.960000000000008</v>
      </c>
      <c r="L19" s="14">
        <f>20+(2*0.02*24*30)+(5*0.02*12*30)</f>
        <v>84.800000000000011</v>
      </c>
      <c r="M19" s="14">
        <f t="shared" si="13"/>
        <v>86.960000000000008</v>
      </c>
      <c r="N19" s="8">
        <f t="shared" si="9"/>
        <v>1030.5600000000002</v>
      </c>
      <c r="O19" s="9">
        <f t="shared" ref="O19:O20" si="14">N19/5</f>
        <v>206.11200000000002</v>
      </c>
    </row>
    <row r="20" spans="1:15" x14ac:dyDescent="0.3">
      <c r="A20" s="10" t="s">
        <v>27</v>
      </c>
      <c r="B20" s="15">
        <f>20+(2*0.02*24*31)+(5*0.02*24*31)</f>
        <v>124.16</v>
      </c>
      <c r="C20" s="15">
        <f>20+(2*0.02*24*28)+(5*0.02*24*28)</f>
        <v>114.08000000000001</v>
      </c>
      <c r="D20" s="15">
        <f t="shared" ref="D20:M20" si="15">20+(2*0.02*24*31)+(5*0.02*24*31)</f>
        <v>124.16</v>
      </c>
      <c r="E20" s="15">
        <f>20+(2*0.02*24*30)+(5*0.02*24*30)</f>
        <v>120.80000000000001</v>
      </c>
      <c r="F20" s="15">
        <f t="shared" si="15"/>
        <v>124.16</v>
      </c>
      <c r="G20" s="15">
        <f>20+(2*0.02*24*30)+(5*0.02*24*30)</f>
        <v>120.80000000000001</v>
      </c>
      <c r="H20" s="15">
        <f t="shared" si="15"/>
        <v>124.16</v>
      </c>
      <c r="I20" s="15">
        <f t="shared" si="15"/>
        <v>124.16</v>
      </c>
      <c r="J20" s="15">
        <f t="shared" si="15"/>
        <v>124.16</v>
      </c>
      <c r="K20" s="15">
        <f t="shared" si="15"/>
        <v>124.16</v>
      </c>
      <c r="L20" s="15">
        <f>20+(2*0.02*24*30)+(5*0.02*24*30)</f>
        <v>120.80000000000001</v>
      </c>
      <c r="M20" s="15">
        <f t="shared" si="15"/>
        <v>124.16</v>
      </c>
      <c r="N20" s="11">
        <f t="shared" si="9"/>
        <v>1469.7600000000002</v>
      </c>
      <c r="O20" s="12">
        <f t="shared" si="14"/>
        <v>293.95200000000006</v>
      </c>
    </row>
    <row r="21" spans="1:15" x14ac:dyDescent="0.3">
      <c r="A21" s="3" t="s">
        <v>28</v>
      </c>
      <c r="B21" s="13">
        <f>20+(3*0.02*24*31)</f>
        <v>64.64</v>
      </c>
      <c r="C21" s="13">
        <f>20+(3*0.02*24*28)</f>
        <v>60.32</v>
      </c>
      <c r="D21" s="13">
        <f t="shared" ref="D21:M21" si="16">20+(3*0.02*24*31)</f>
        <v>64.64</v>
      </c>
      <c r="E21" s="13">
        <f>20+(3*0.02*24*30)</f>
        <v>63.199999999999996</v>
      </c>
      <c r="F21" s="13">
        <f t="shared" si="16"/>
        <v>64.64</v>
      </c>
      <c r="G21" s="13">
        <f>20+(3*0.02*24*30)</f>
        <v>63.199999999999996</v>
      </c>
      <c r="H21" s="13">
        <f t="shared" si="16"/>
        <v>64.64</v>
      </c>
      <c r="I21" s="13">
        <f t="shared" si="16"/>
        <v>64.64</v>
      </c>
      <c r="J21" s="13">
        <f t="shared" si="16"/>
        <v>64.64</v>
      </c>
      <c r="K21" s="13">
        <f t="shared" si="16"/>
        <v>64.64</v>
      </c>
      <c r="L21" s="13">
        <f>20+(3*0.02*24*30)</f>
        <v>63.199999999999996</v>
      </c>
      <c r="M21" s="13">
        <f t="shared" si="16"/>
        <v>64.64</v>
      </c>
      <c r="N21" s="5">
        <f t="shared" si="9"/>
        <v>767.04</v>
      </c>
      <c r="O21" s="6">
        <f>N21/6</f>
        <v>127.83999999999999</v>
      </c>
    </row>
    <row r="22" spans="1:15" x14ac:dyDescent="0.3">
      <c r="A22" s="7" t="s">
        <v>29</v>
      </c>
      <c r="B22" s="14">
        <f>20+(3*0.02*24*31)+(6*0.02*12*31)</f>
        <v>109.28</v>
      </c>
      <c r="C22" s="14">
        <f>20+(3*0.02*24*28)+(6*0.02*12*28)</f>
        <v>100.64</v>
      </c>
      <c r="D22" s="14">
        <f t="shared" ref="D22:M22" si="17">20+(3*0.02*24*31)+(6*0.02*12*31)</f>
        <v>109.28</v>
      </c>
      <c r="E22" s="14">
        <f>20+(3*0.02*24*30)+(6*0.02*12*30)</f>
        <v>106.39999999999999</v>
      </c>
      <c r="F22" s="14">
        <f t="shared" si="17"/>
        <v>109.28</v>
      </c>
      <c r="G22" s="14">
        <f>20+(3*0.02*24*30)+(6*0.02*12*30)</f>
        <v>106.39999999999999</v>
      </c>
      <c r="H22" s="14">
        <f t="shared" si="17"/>
        <v>109.28</v>
      </c>
      <c r="I22" s="14">
        <f t="shared" si="17"/>
        <v>109.28</v>
      </c>
      <c r="J22" s="14">
        <f t="shared" si="17"/>
        <v>109.28</v>
      </c>
      <c r="K22" s="14">
        <f t="shared" si="17"/>
        <v>109.28</v>
      </c>
      <c r="L22" s="14">
        <f>20+(3*0.02*24*30)+(6*0.02*12*30)</f>
        <v>106.39999999999999</v>
      </c>
      <c r="M22" s="14">
        <f t="shared" si="17"/>
        <v>109.28</v>
      </c>
      <c r="N22" s="8">
        <f t="shared" si="9"/>
        <v>1294.08</v>
      </c>
      <c r="O22" s="9">
        <f t="shared" ref="O22:O23" si="18">N22/6</f>
        <v>215.67999999999998</v>
      </c>
    </row>
    <row r="23" spans="1:15" x14ac:dyDescent="0.3">
      <c r="A23" s="10" t="s">
        <v>30</v>
      </c>
      <c r="B23" s="15">
        <f>20+(3*0.02*24*31)+(6*0.02*24*31)</f>
        <v>153.92000000000002</v>
      </c>
      <c r="C23" s="15">
        <f>20+(3*0.02*24*28)+(6*0.02*24*28)</f>
        <v>140.96</v>
      </c>
      <c r="D23" s="15">
        <f t="shared" ref="D23:M23" si="19">20+(3*0.02*24*31)+(6*0.02*24*31)</f>
        <v>153.92000000000002</v>
      </c>
      <c r="E23" s="15">
        <f>20+(3*0.02*24*30)+(6*0.02*24*30)</f>
        <v>149.6</v>
      </c>
      <c r="F23" s="15">
        <f t="shared" si="19"/>
        <v>153.92000000000002</v>
      </c>
      <c r="G23" s="15">
        <f>20+(3*0.02*24*30)+(6*0.02*24*30)</f>
        <v>149.6</v>
      </c>
      <c r="H23" s="15">
        <f t="shared" si="19"/>
        <v>153.92000000000002</v>
      </c>
      <c r="I23" s="15">
        <f t="shared" si="19"/>
        <v>153.92000000000002</v>
      </c>
      <c r="J23" s="15">
        <f t="shared" si="19"/>
        <v>153.92000000000002</v>
      </c>
      <c r="K23" s="15">
        <f t="shared" si="19"/>
        <v>153.92000000000002</v>
      </c>
      <c r="L23" s="15">
        <f>20+(3*0.02*24*30)+(6*0.02*24*30)</f>
        <v>149.6</v>
      </c>
      <c r="M23" s="15">
        <f t="shared" si="19"/>
        <v>153.92000000000002</v>
      </c>
      <c r="N23" s="11">
        <f t="shared" si="9"/>
        <v>1821.1200000000001</v>
      </c>
      <c r="O23" s="12">
        <f t="shared" si="18"/>
        <v>303.52000000000004</v>
      </c>
    </row>
    <row r="24" spans="1:15" x14ac:dyDescent="0.3">
      <c r="A24" s="3" t="s">
        <v>31</v>
      </c>
      <c r="B24" s="13">
        <f>20+(4*0.02*24*31)</f>
        <v>79.52</v>
      </c>
      <c r="C24" s="13">
        <f>20+(4*0.02*24*28)</f>
        <v>73.759999999999991</v>
      </c>
      <c r="D24" s="13">
        <f t="shared" ref="D24:M24" si="20">20+(4*0.02*24*31)</f>
        <v>79.52</v>
      </c>
      <c r="E24" s="13">
        <f>20+(4*0.02*24*30)</f>
        <v>77.599999999999994</v>
      </c>
      <c r="F24" s="13">
        <f t="shared" si="20"/>
        <v>79.52</v>
      </c>
      <c r="G24" s="13">
        <f>20+(4*0.02*24*30)</f>
        <v>77.599999999999994</v>
      </c>
      <c r="H24" s="13">
        <f t="shared" si="20"/>
        <v>79.52</v>
      </c>
      <c r="I24" s="13">
        <f t="shared" si="20"/>
        <v>79.52</v>
      </c>
      <c r="J24" s="13">
        <f>20+(4*0.02*24*31)</f>
        <v>79.52</v>
      </c>
      <c r="K24" s="13">
        <f t="shared" si="20"/>
        <v>79.52</v>
      </c>
      <c r="L24" s="13">
        <f>20+(4*0.02*24*30)</f>
        <v>77.599999999999994</v>
      </c>
      <c r="M24" s="13">
        <f t="shared" si="20"/>
        <v>79.52</v>
      </c>
      <c r="N24" s="5">
        <f t="shared" si="9"/>
        <v>942.71999999999991</v>
      </c>
      <c r="O24" s="6">
        <f>N24/7</f>
        <v>134.6742857142857</v>
      </c>
    </row>
    <row r="25" spans="1:15" x14ac:dyDescent="0.3">
      <c r="A25" s="7" t="s">
        <v>32</v>
      </c>
      <c r="B25" s="14">
        <f>20+(4*0.02*24*31)+(7*0.02*12*31)</f>
        <v>131.6</v>
      </c>
      <c r="C25" s="14">
        <f>20+(4*0.02*24*28)+(7*0.02*12*28)</f>
        <v>120.8</v>
      </c>
      <c r="D25" s="14">
        <f t="shared" ref="D25:M25" si="21">20+(4*0.02*24*31)+(7*0.02*12*31)</f>
        <v>131.6</v>
      </c>
      <c r="E25" s="14">
        <f>20+(4*0.02*24*30)+(7*0.02*12*30)</f>
        <v>128</v>
      </c>
      <c r="F25" s="14">
        <f t="shared" si="21"/>
        <v>131.6</v>
      </c>
      <c r="G25" s="14">
        <f>20+(4*0.02*24*30)+(7*0.02*12*30)</f>
        <v>128</v>
      </c>
      <c r="H25" s="14">
        <f t="shared" si="21"/>
        <v>131.6</v>
      </c>
      <c r="I25" s="14">
        <f t="shared" si="21"/>
        <v>131.6</v>
      </c>
      <c r="J25" s="14">
        <f t="shared" si="21"/>
        <v>131.6</v>
      </c>
      <c r="K25" s="14">
        <f t="shared" si="21"/>
        <v>131.6</v>
      </c>
      <c r="L25" s="14">
        <f>20+(4*0.02*24*30)+(7*0.02*12*30)</f>
        <v>128</v>
      </c>
      <c r="M25" s="14">
        <f t="shared" si="21"/>
        <v>131.6</v>
      </c>
      <c r="N25" s="8">
        <f t="shared" si="9"/>
        <v>1557.5999999999997</v>
      </c>
      <c r="O25" s="9">
        <f t="shared" ref="O25:O26" si="22">N25/7</f>
        <v>222.51428571428568</v>
      </c>
    </row>
    <row r="26" spans="1:15" x14ac:dyDescent="0.3">
      <c r="A26" s="7" t="s">
        <v>33</v>
      </c>
      <c r="B26" s="14">
        <f>20+(4*0.02*24*31)+(7*0.02*24*31)</f>
        <v>183.68</v>
      </c>
      <c r="C26" s="14">
        <f>20+(4*0.02*24*28)+(7*0.02*24*28)</f>
        <v>167.84</v>
      </c>
      <c r="D26" s="14">
        <f t="shared" ref="D26:M26" si="23">20+(4*0.02*24*31)+(7*0.02*24*31)</f>
        <v>183.68</v>
      </c>
      <c r="E26" s="14">
        <f>20+(4*0.02*24*30)+(7*0.02*24*30)</f>
        <v>178.4</v>
      </c>
      <c r="F26" s="14">
        <f t="shared" si="23"/>
        <v>183.68</v>
      </c>
      <c r="G26" s="14">
        <f>20+(4*0.02*24*30)+(7*0.02*24*30)</f>
        <v>178.4</v>
      </c>
      <c r="H26" s="14">
        <f t="shared" si="23"/>
        <v>183.68</v>
      </c>
      <c r="I26" s="14">
        <f t="shared" si="23"/>
        <v>183.68</v>
      </c>
      <c r="J26" s="14">
        <f t="shared" si="23"/>
        <v>183.68</v>
      </c>
      <c r="K26" s="14">
        <f t="shared" si="23"/>
        <v>183.68</v>
      </c>
      <c r="L26" s="14">
        <f>20+(4*0.02*24*30)+(7*0.02*24*30)</f>
        <v>178.4</v>
      </c>
      <c r="M26" s="14">
        <f t="shared" si="23"/>
        <v>183.68</v>
      </c>
      <c r="N26" s="8">
        <f t="shared" si="9"/>
        <v>2172.4800000000005</v>
      </c>
      <c r="O26" s="9">
        <f t="shared" si="22"/>
        <v>310.35428571428577</v>
      </c>
    </row>
    <row r="27" spans="1:15" x14ac:dyDescent="0.3">
      <c r="A27" s="3" t="s">
        <v>35</v>
      </c>
      <c r="B27" s="13">
        <f>20+(5*0.02*24*31)</f>
        <v>94.4</v>
      </c>
      <c r="C27" s="13">
        <f>20+(5*0.02*24*28)</f>
        <v>87.200000000000017</v>
      </c>
      <c r="D27" s="13">
        <f t="shared" ref="D27:M27" si="24">20+(5*0.02*24*31)</f>
        <v>94.4</v>
      </c>
      <c r="E27" s="13">
        <f>20+(5*0.02*24*30)</f>
        <v>92.000000000000014</v>
      </c>
      <c r="F27" s="13">
        <f t="shared" si="24"/>
        <v>94.4</v>
      </c>
      <c r="G27" s="13">
        <f>20+(5*0.02*24*30)</f>
        <v>92.000000000000014</v>
      </c>
      <c r="H27" s="13">
        <f t="shared" si="24"/>
        <v>94.4</v>
      </c>
      <c r="I27" s="13">
        <f t="shared" si="24"/>
        <v>94.4</v>
      </c>
      <c r="J27" s="13">
        <f t="shared" si="24"/>
        <v>94.4</v>
      </c>
      <c r="K27" s="13">
        <f t="shared" si="24"/>
        <v>94.4</v>
      </c>
      <c r="L27" s="13">
        <f>20+(5*0.02*24*30)</f>
        <v>92.000000000000014</v>
      </c>
      <c r="M27" s="13">
        <f t="shared" si="24"/>
        <v>94.4</v>
      </c>
      <c r="N27" s="5">
        <f t="shared" ref="N27:N29" si="25">SUM(B27:M27)</f>
        <v>1118.3999999999999</v>
      </c>
      <c r="O27" s="6">
        <f>N27/8</f>
        <v>139.79999999999998</v>
      </c>
    </row>
    <row r="28" spans="1:15" x14ac:dyDescent="0.3">
      <c r="A28" s="7" t="s">
        <v>36</v>
      </c>
      <c r="B28" s="14">
        <f>20+(5*0.02*24*31)+(8*0.02*12*31)</f>
        <v>153.92000000000002</v>
      </c>
      <c r="C28" s="14">
        <f>20+(5*0.02*24*28)+(8*0.02*12*28)</f>
        <v>140.96</v>
      </c>
      <c r="D28" s="14">
        <f t="shared" ref="D28:M28" si="26">20+(5*0.02*24*31)+(8*0.02*12*31)</f>
        <v>153.92000000000002</v>
      </c>
      <c r="E28" s="14">
        <f>20+(5*0.02*24*30)+(8*0.02*12*30)</f>
        <v>149.60000000000002</v>
      </c>
      <c r="F28" s="14">
        <f t="shared" si="26"/>
        <v>153.92000000000002</v>
      </c>
      <c r="G28" s="14">
        <f>20+(5*0.02*24*30)+(8*0.02*12*30)</f>
        <v>149.60000000000002</v>
      </c>
      <c r="H28" s="14">
        <f t="shared" si="26"/>
        <v>153.92000000000002</v>
      </c>
      <c r="I28" s="14">
        <f t="shared" si="26"/>
        <v>153.92000000000002</v>
      </c>
      <c r="J28" s="14">
        <f t="shared" si="26"/>
        <v>153.92000000000002</v>
      </c>
      <c r="K28" s="14">
        <f t="shared" si="26"/>
        <v>153.92000000000002</v>
      </c>
      <c r="L28" s="14">
        <f>20+(5*0.02*24*30)+(8*0.02*12*30)</f>
        <v>149.60000000000002</v>
      </c>
      <c r="M28" s="14">
        <f t="shared" si="26"/>
        <v>153.92000000000002</v>
      </c>
      <c r="N28" s="8">
        <f t="shared" si="25"/>
        <v>1821.1200000000003</v>
      </c>
      <c r="O28" s="9">
        <f t="shared" ref="O28:O29" si="27">N28/8</f>
        <v>227.64000000000004</v>
      </c>
    </row>
    <row r="29" spans="1:15" x14ac:dyDescent="0.3">
      <c r="A29" s="10" t="s">
        <v>37</v>
      </c>
      <c r="B29" s="15">
        <f>20+(5*0.02*24*31)+(8*0.02*24*31)</f>
        <v>213.44</v>
      </c>
      <c r="C29" s="15">
        <f>20+(5*0.02*24*28)+(8*0.02*24*28)</f>
        <v>194.72000000000003</v>
      </c>
      <c r="D29" s="15">
        <f t="shared" ref="D29:M29" si="28">20+(5*0.02*24*31)+(8*0.02*24*31)</f>
        <v>213.44</v>
      </c>
      <c r="E29" s="15">
        <f>20+(5*0.02*24*30)+(8*0.02*24*30)</f>
        <v>207.2</v>
      </c>
      <c r="F29" s="15">
        <f t="shared" si="28"/>
        <v>213.44</v>
      </c>
      <c r="G29" s="15">
        <f>20+(5*0.02*24*30)+(8*0.02*24*30)</f>
        <v>207.2</v>
      </c>
      <c r="H29" s="15">
        <f t="shared" si="28"/>
        <v>213.44</v>
      </c>
      <c r="I29" s="15">
        <f t="shared" si="28"/>
        <v>213.44</v>
      </c>
      <c r="J29" s="15">
        <f t="shared" si="28"/>
        <v>213.44</v>
      </c>
      <c r="K29" s="15">
        <f t="shared" si="28"/>
        <v>213.44</v>
      </c>
      <c r="L29" s="15">
        <f>20+(5*0.02*24*30)+(8*0.02*24*30)</f>
        <v>207.2</v>
      </c>
      <c r="M29" s="15">
        <f t="shared" si="28"/>
        <v>213.44</v>
      </c>
      <c r="N29" s="11">
        <f t="shared" si="25"/>
        <v>2523.84</v>
      </c>
      <c r="O29" s="12">
        <f t="shared" si="27"/>
        <v>315.48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C1" workbookViewId="0">
      <selection activeCell="O5" sqref="O5"/>
    </sheetView>
  </sheetViews>
  <sheetFormatPr defaultRowHeight="14.4" x14ac:dyDescent="0.3"/>
  <cols>
    <col min="1" max="1" width="59.109375" customWidth="1"/>
    <col min="2" max="14" width="10.6640625" customWidth="1"/>
    <col min="15" max="15" width="13.6640625" customWidth="1"/>
  </cols>
  <sheetData>
    <row r="1" spans="1:15" x14ac:dyDescent="0.3">
      <c r="A1" s="1" t="s">
        <v>18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1"/>
    </row>
    <row r="2" spans="1:15" x14ac:dyDescent="0.3">
      <c r="A2" s="16" t="s">
        <v>13</v>
      </c>
      <c r="B2" s="17">
        <v>0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8">
        <f>SUM(B2:M2)</f>
        <v>0</v>
      </c>
    </row>
    <row r="3" spans="1:15" x14ac:dyDescent="0.3">
      <c r="A3" s="16" t="s">
        <v>38</v>
      </c>
      <c r="B3" s="19">
        <f>20</f>
        <v>20</v>
      </c>
      <c r="C3" s="19">
        <f>20</f>
        <v>20</v>
      </c>
      <c r="D3" s="19">
        <f>20</f>
        <v>20</v>
      </c>
      <c r="E3" s="19">
        <f>20</f>
        <v>20</v>
      </c>
      <c r="F3" s="19">
        <f>20</f>
        <v>20</v>
      </c>
      <c r="G3" s="19">
        <f>20</f>
        <v>20</v>
      </c>
      <c r="H3" s="19">
        <f>20</f>
        <v>20</v>
      </c>
      <c r="I3" s="19">
        <f>20</f>
        <v>20</v>
      </c>
      <c r="J3" s="19">
        <f>20</f>
        <v>20</v>
      </c>
      <c r="K3" s="19">
        <f>20</f>
        <v>20</v>
      </c>
      <c r="L3" s="19">
        <f>20</f>
        <v>20</v>
      </c>
      <c r="M3" s="19">
        <f>20</f>
        <v>20</v>
      </c>
      <c r="N3" s="18">
        <f>SUM(B3:M3)</f>
        <v>240</v>
      </c>
    </row>
    <row r="4" spans="1:15" x14ac:dyDescent="0.3">
      <c r="A4" s="3" t="s">
        <v>15</v>
      </c>
      <c r="B4" s="4">
        <f>20+(0.025*12*31)</f>
        <v>29.3</v>
      </c>
      <c r="C4" s="4">
        <f>20+(0.025*12*28)</f>
        <v>28.400000000000002</v>
      </c>
      <c r="D4" s="4">
        <f>20+(0.025*12*31)</f>
        <v>29.3</v>
      </c>
      <c r="E4" s="4">
        <f>20+(0.025*12*30)</f>
        <v>29</v>
      </c>
      <c r="F4" s="4">
        <f>20+(0.025*12*31)</f>
        <v>29.3</v>
      </c>
      <c r="G4" s="4">
        <f>20+(0.025*12*30)</f>
        <v>29</v>
      </c>
      <c r="H4" s="4">
        <f>20+(0.025*12*31)</f>
        <v>29.3</v>
      </c>
      <c r="I4" s="4">
        <f>20+(0.025*12*31)</f>
        <v>29.3</v>
      </c>
      <c r="J4" s="4">
        <f>20+(0.025*12*31)</f>
        <v>29.3</v>
      </c>
      <c r="K4" s="4">
        <f>20+(0.025*12*31)</f>
        <v>29.3</v>
      </c>
      <c r="L4" s="4">
        <f>20+(0.025*12*30)</f>
        <v>29</v>
      </c>
      <c r="M4" s="4">
        <f>20+(0.025*12*31)</f>
        <v>29.3</v>
      </c>
      <c r="N4" s="20">
        <f t="shared" ref="N4:N7" si="0">SUM(B4:M4)</f>
        <v>349.80000000000007</v>
      </c>
    </row>
    <row r="5" spans="1:15" x14ac:dyDescent="0.3">
      <c r="A5" s="10" t="s">
        <v>14</v>
      </c>
      <c r="B5" s="21">
        <f>20+(0.025*24*31)</f>
        <v>38.6</v>
      </c>
      <c r="C5" s="21">
        <f>20+(0.025*24*28)</f>
        <v>36.800000000000004</v>
      </c>
      <c r="D5" s="21">
        <f>20+(0.025*24*31)</f>
        <v>38.6</v>
      </c>
      <c r="E5" s="21">
        <f>20+(0.025*24*30)</f>
        <v>38</v>
      </c>
      <c r="F5" s="21">
        <f>20+(0.025*24*31)</f>
        <v>38.6</v>
      </c>
      <c r="G5" s="21">
        <f>20+(0.025*24*30)</f>
        <v>38</v>
      </c>
      <c r="H5" s="21">
        <f t="shared" ref="H5:K6" si="1">20+(0.025*24*31)</f>
        <v>38.6</v>
      </c>
      <c r="I5" s="21">
        <f t="shared" si="1"/>
        <v>38.6</v>
      </c>
      <c r="J5" s="21">
        <f t="shared" si="1"/>
        <v>38.6</v>
      </c>
      <c r="K5" s="21">
        <f t="shared" si="1"/>
        <v>38.6</v>
      </c>
      <c r="L5" s="21">
        <f>20+(0.025*24*30)</f>
        <v>38</v>
      </c>
      <c r="M5" s="21">
        <f>20+(0.025*24*31)</f>
        <v>38.6</v>
      </c>
      <c r="N5" s="22">
        <f t="shared" si="0"/>
        <v>459.60000000000008</v>
      </c>
    </row>
    <row r="6" spans="1:15" x14ac:dyDescent="0.3">
      <c r="A6" s="3" t="s">
        <v>16</v>
      </c>
      <c r="B6" s="13">
        <f>20+(0.025*24*31)</f>
        <v>38.6</v>
      </c>
      <c r="C6" s="13">
        <f>20+(0.025*24*28)</f>
        <v>36.800000000000004</v>
      </c>
      <c r="D6" s="13">
        <f>20+(0.025*24*31)</f>
        <v>38.6</v>
      </c>
      <c r="E6" s="13">
        <f>20+(0.025*24*30)</f>
        <v>38</v>
      </c>
      <c r="F6" s="13">
        <f>20+(0.025*24*31)</f>
        <v>38.6</v>
      </c>
      <c r="G6" s="13">
        <f>20+(0.025*24*30)</f>
        <v>38</v>
      </c>
      <c r="H6" s="13">
        <f t="shared" si="1"/>
        <v>38.6</v>
      </c>
      <c r="I6" s="13">
        <f t="shared" si="1"/>
        <v>38.6</v>
      </c>
      <c r="J6" s="13">
        <f t="shared" si="1"/>
        <v>38.6</v>
      </c>
      <c r="K6" s="13">
        <f t="shared" si="1"/>
        <v>38.6</v>
      </c>
      <c r="L6" s="13">
        <f>20+(0.025*24*30)</f>
        <v>38</v>
      </c>
      <c r="M6" s="13">
        <f>20+(0.025*24*31)</f>
        <v>38.6</v>
      </c>
      <c r="N6" s="20">
        <f t="shared" si="0"/>
        <v>459.60000000000008</v>
      </c>
    </row>
    <row r="7" spans="1:15" x14ac:dyDescent="0.3">
      <c r="A7" s="10" t="s">
        <v>17</v>
      </c>
      <c r="B7" s="15">
        <f>20+(0.025*24*2*31)</f>
        <v>57.2</v>
      </c>
      <c r="C7" s="15">
        <f>20+(0.025*24*2*28)</f>
        <v>53.600000000000009</v>
      </c>
      <c r="D7" s="15">
        <f>20+(0.025*24*2*31)</f>
        <v>57.2</v>
      </c>
      <c r="E7" s="15">
        <f>20+(0.025*24*2*30)</f>
        <v>56.000000000000007</v>
      </c>
      <c r="F7" s="15">
        <f>20+(0.025*24*2*31)</f>
        <v>57.2</v>
      </c>
      <c r="G7" s="15">
        <f>20+(0.025*24*2*30)</f>
        <v>56.000000000000007</v>
      </c>
      <c r="H7" s="15">
        <f>20+(0.025*24*2*31)</f>
        <v>57.2</v>
      </c>
      <c r="I7" s="15">
        <f>20+(0.025*24*2*31)</f>
        <v>57.2</v>
      </c>
      <c r="J7" s="15">
        <f>20+(0.025*24*2*31)</f>
        <v>57.2</v>
      </c>
      <c r="K7" s="15">
        <f>20+(0.025*24*2*31)</f>
        <v>57.2</v>
      </c>
      <c r="L7" s="15">
        <f>20+(0.025*24*2*30)</f>
        <v>56.000000000000007</v>
      </c>
      <c r="M7" s="15">
        <f>20+(0.025*24*2*31)</f>
        <v>57.2</v>
      </c>
      <c r="N7" s="22">
        <f t="shared" si="0"/>
        <v>679.2</v>
      </c>
    </row>
    <row r="8" spans="1:15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57.6" x14ac:dyDescent="0.3">
      <c r="A10" s="1" t="s">
        <v>19</v>
      </c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  <c r="L10" s="24" t="s">
        <v>10</v>
      </c>
      <c r="M10" s="24" t="s">
        <v>11</v>
      </c>
      <c r="N10" s="23" t="s">
        <v>12</v>
      </c>
      <c r="O10" s="25" t="s">
        <v>39</v>
      </c>
    </row>
    <row r="11" spans="1:15" x14ac:dyDescent="0.3">
      <c r="A11" s="3" t="s">
        <v>22</v>
      </c>
      <c r="B11" s="13">
        <f>20</f>
        <v>20</v>
      </c>
      <c r="C11" s="13">
        <f>20</f>
        <v>20</v>
      </c>
      <c r="D11" s="13">
        <f>20</f>
        <v>20</v>
      </c>
      <c r="E11" s="13">
        <f>20</f>
        <v>20</v>
      </c>
      <c r="F11" s="13">
        <f>20</f>
        <v>20</v>
      </c>
      <c r="G11" s="13">
        <f>20</f>
        <v>20</v>
      </c>
      <c r="H11" s="13">
        <f>20</f>
        <v>20</v>
      </c>
      <c r="I11" s="13">
        <f>20</f>
        <v>20</v>
      </c>
      <c r="J11" s="13">
        <f>20</f>
        <v>20</v>
      </c>
      <c r="K11" s="13">
        <f>20</f>
        <v>20</v>
      </c>
      <c r="L11" s="13">
        <f>20</f>
        <v>20</v>
      </c>
      <c r="M11" s="13">
        <f>20</f>
        <v>20</v>
      </c>
      <c r="N11" s="5">
        <f>SUM(B11:M11)</f>
        <v>240</v>
      </c>
      <c r="O11" s="6">
        <f>N11/3</f>
        <v>80</v>
      </c>
    </row>
    <row r="12" spans="1:15" x14ac:dyDescent="0.3">
      <c r="A12" s="7" t="s">
        <v>23</v>
      </c>
      <c r="B12" s="14">
        <f>20+(0.025*12*3*31)</f>
        <v>47.900000000000006</v>
      </c>
      <c r="C12" s="14">
        <f>20+(0.025*12*3*28)</f>
        <v>45.2</v>
      </c>
      <c r="D12" s="14">
        <f>20+(0.025*12*3*31)</f>
        <v>47.900000000000006</v>
      </c>
      <c r="E12" s="14">
        <f>20+(0.025*12*3*30)</f>
        <v>47</v>
      </c>
      <c r="F12" s="14">
        <f>20+(0.025*12*3*31)</f>
        <v>47.900000000000006</v>
      </c>
      <c r="G12" s="14">
        <f>20+(0.025*12*3*30)</f>
        <v>47</v>
      </c>
      <c r="H12" s="14">
        <f>20+(0.025*12*3*31)</f>
        <v>47.900000000000006</v>
      </c>
      <c r="I12" s="14">
        <f>20+(0.025*12*3*31)</f>
        <v>47.900000000000006</v>
      </c>
      <c r="J12" s="14">
        <f>20+(0.025*12*3*31)</f>
        <v>47.900000000000006</v>
      </c>
      <c r="K12" s="14">
        <f>20+(0.025*12*3*31)</f>
        <v>47.900000000000006</v>
      </c>
      <c r="L12" s="14">
        <f>20+(0.025*12*3*30)</f>
        <v>47</v>
      </c>
      <c r="M12" s="14">
        <f>20+(0.025*12*3*31)</f>
        <v>47.900000000000006</v>
      </c>
      <c r="N12" s="8">
        <f>SUM(B12:M12)</f>
        <v>569.39999999999986</v>
      </c>
      <c r="O12" s="9">
        <f t="shared" ref="O12:O13" si="2">N12/3</f>
        <v>189.79999999999995</v>
      </c>
    </row>
    <row r="13" spans="1:15" x14ac:dyDescent="0.3">
      <c r="A13" s="10" t="s">
        <v>34</v>
      </c>
      <c r="B13" s="15">
        <f>20+(3*0.025*24*31)</f>
        <v>75.800000000000011</v>
      </c>
      <c r="C13" s="15">
        <f>20+(3*0.025*24*28)</f>
        <v>70.400000000000006</v>
      </c>
      <c r="D13" s="15">
        <f>20+(3*0.025*24*31)</f>
        <v>75.800000000000011</v>
      </c>
      <c r="E13" s="15">
        <f>20+(3*0.025*24*30)</f>
        <v>74</v>
      </c>
      <c r="F13" s="15">
        <f>20+(3*0.025*24*31)</f>
        <v>75.800000000000011</v>
      </c>
      <c r="G13" s="15">
        <f>20+(3*0.025*24*30)</f>
        <v>74</v>
      </c>
      <c r="H13" s="15">
        <f>20+(3*0.025*24*31)</f>
        <v>75.800000000000011</v>
      </c>
      <c r="I13" s="15">
        <f>20+(3*0.025*24*31)</f>
        <v>75.800000000000011</v>
      </c>
      <c r="J13" s="15">
        <f>20+(3*0.025*24*31)</f>
        <v>75.800000000000011</v>
      </c>
      <c r="K13" s="15">
        <f>20+(3*0.025*24*31)</f>
        <v>75.800000000000011</v>
      </c>
      <c r="L13" s="15">
        <f>20+(3*0.025*24*30)</f>
        <v>74</v>
      </c>
      <c r="M13" s="15">
        <f>20+(3*0.025*24*31)</f>
        <v>75.800000000000011</v>
      </c>
      <c r="N13" s="11">
        <f>SUM(B13:M13)</f>
        <v>898.8</v>
      </c>
      <c r="O13" s="12">
        <f t="shared" si="2"/>
        <v>299.59999999999997</v>
      </c>
    </row>
    <row r="14" spans="1:15" x14ac:dyDescent="0.3">
      <c r="A14" s="3" t="s">
        <v>20</v>
      </c>
      <c r="B14" s="13">
        <f>20 + (0.025*24*31)</f>
        <v>38.6</v>
      </c>
      <c r="C14" s="13">
        <f>20 + (0.025*24*28)</f>
        <v>36.800000000000004</v>
      </c>
      <c r="D14" s="13">
        <f>20 + (0.025*24*31)</f>
        <v>38.6</v>
      </c>
      <c r="E14" s="13">
        <f>20 + (0.025*24*30)</f>
        <v>38</v>
      </c>
      <c r="F14" s="13">
        <f>20 + (0.025*24*31)</f>
        <v>38.6</v>
      </c>
      <c r="G14" s="13">
        <f>20 + (0.025*24*30)</f>
        <v>38</v>
      </c>
      <c r="H14" s="13">
        <f>20 + (0.025*24*31)</f>
        <v>38.6</v>
      </c>
      <c r="I14" s="13">
        <f>20 + (0.025*24*31)</f>
        <v>38.6</v>
      </c>
      <c r="J14" s="13">
        <f>20 + (0.025*24*31)</f>
        <v>38.6</v>
      </c>
      <c r="K14" s="13">
        <f>20 + (0.025*24*31)</f>
        <v>38.6</v>
      </c>
      <c r="L14" s="13">
        <f>20 + (0.025*24*30)</f>
        <v>38</v>
      </c>
      <c r="M14" s="13">
        <f>20 + (0.025*24*31)</f>
        <v>38.6</v>
      </c>
      <c r="N14" s="5">
        <f>SUM(B14:M14)</f>
        <v>459.60000000000008</v>
      </c>
      <c r="O14" s="6">
        <f>N14/4</f>
        <v>114.90000000000002</v>
      </c>
    </row>
    <row r="15" spans="1:15" x14ac:dyDescent="0.3">
      <c r="A15" s="7" t="s">
        <v>24</v>
      </c>
      <c r="B15" s="14">
        <f>20+(0.025*24*31)+(4*0.025*12*31)</f>
        <v>75.800000000000011</v>
      </c>
      <c r="C15" s="14">
        <f>20+(0.025*24*28)+(4*0.025*12*28)</f>
        <v>70.400000000000006</v>
      </c>
      <c r="D15" s="14">
        <f>20+(0.025*24*31)+(4*0.025*12*31)</f>
        <v>75.800000000000011</v>
      </c>
      <c r="E15" s="14">
        <f>20+(0.025*24*30)+(4*0.025*12*30)</f>
        <v>74</v>
      </c>
      <c r="F15" s="14">
        <f>20+(0.025*24*31)+(4*0.025*12*31)</f>
        <v>75.800000000000011</v>
      </c>
      <c r="G15" s="14">
        <f>20+(0.025*24*30)+(4*0.025*12*30)</f>
        <v>74</v>
      </c>
      <c r="H15" s="14">
        <f>20+(0.025*24*31)+(4*0.025*12*31)</f>
        <v>75.800000000000011</v>
      </c>
      <c r="I15" s="14">
        <f>20+(0.025*24*31)+(4*0.025*12*31)</f>
        <v>75.800000000000011</v>
      </c>
      <c r="J15" s="14">
        <f>20+(0.025*24*31)+(4*0.025*12*31)</f>
        <v>75.800000000000011</v>
      </c>
      <c r="K15" s="14">
        <f>20+(0.025*24*31)+(4*0.025*12*31)</f>
        <v>75.800000000000011</v>
      </c>
      <c r="L15" s="14">
        <f>20+(0.025*24*30)+(4*0.025*12*30)</f>
        <v>74</v>
      </c>
      <c r="M15" s="14">
        <f>20+(0.025*24*31)+(4*0.025*12*31)</f>
        <v>75.800000000000011</v>
      </c>
      <c r="N15" s="8">
        <f t="shared" ref="N15:N25" si="3">SUM(B15:M15)</f>
        <v>898.8</v>
      </c>
      <c r="O15" s="9">
        <f t="shared" ref="O15:O16" si="4">N15/4</f>
        <v>224.7</v>
      </c>
    </row>
    <row r="16" spans="1:15" x14ac:dyDescent="0.3">
      <c r="A16" s="10" t="s">
        <v>25</v>
      </c>
      <c r="B16" s="15">
        <f>20+(0.025*24*31)+(4*0.025*24*31)</f>
        <v>113</v>
      </c>
      <c r="C16" s="15">
        <f>20+(0.025*24*28)+(4*0.025*24*28)</f>
        <v>104.00000000000003</v>
      </c>
      <c r="D16" s="15">
        <f>20+(0.025*24*31)+(4*0.025*24*31)</f>
        <v>113</v>
      </c>
      <c r="E16" s="15">
        <f>20+(0.025*24*30)+(4*0.025*24*30)</f>
        <v>110.00000000000001</v>
      </c>
      <c r="F16" s="15">
        <f>20+(0.025*24*31)+(4*0.025*24*31)</f>
        <v>113</v>
      </c>
      <c r="G16" s="15">
        <f>20+(0.025*24*30)+(4*0.025*24*30)</f>
        <v>110.00000000000001</v>
      </c>
      <c r="H16" s="15">
        <f>20+(0.025*24*31)+(4*0.025*24*31)</f>
        <v>113</v>
      </c>
      <c r="I16" s="15">
        <f>20+(0.025*24*31)+(4*0.025*24*31)</f>
        <v>113</v>
      </c>
      <c r="J16" s="15">
        <f>20+(0.025*24*31)+(4*0.025*24*31)</f>
        <v>113</v>
      </c>
      <c r="K16" s="15">
        <f>20+(0.025*24*31)+(4*0.025*24*31)</f>
        <v>113</v>
      </c>
      <c r="L16" s="15">
        <f>20+(0.025*24*30)+(4*0.025*24*30)</f>
        <v>110.00000000000001</v>
      </c>
      <c r="M16" s="15">
        <f>20+(0.025*24*31)+(4*0.025*24*31)</f>
        <v>113</v>
      </c>
      <c r="N16" s="11">
        <f t="shared" si="3"/>
        <v>1338</v>
      </c>
      <c r="O16" s="12">
        <f t="shared" si="4"/>
        <v>334.5</v>
      </c>
    </row>
    <row r="17" spans="1:15" x14ac:dyDescent="0.3">
      <c r="A17" s="3" t="s">
        <v>21</v>
      </c>
      <c r="B17" s="13">
        <f>20+(2*0.025*24*31)</f>
        <v>57.2</v>
      </c>
      <c r="C17" s="13">
        <f>20+(2*0.025*24*28)</f>
        <v>53.600000000000009</v>
      </c>
      <c r="D17" s="13">
        <f>20+(2*0.025*24*31)</f>
        <v>57.2</v>
      </c>
      <c r="E17" s="13">
        <f>20+(2*0.025*24*30)</f>
        <v>56.000000000000007</v>
      </c>
      <c r="F17" s="13">
        <f>20+(2*0.025*24*31)</f>
        <v>57.2</v>
      </c>
      <c r="G17" s="13">
        <f>20+(2*0.025*24*30)</f>
        <v>56.000000000000007</v>
      </c>
      <c r="H17" s="13">
        <f>20+(2*0.025*24*31)</f>
        <v>57.2</v>
      </c>
      <c r="I17" s="13">
        <f>20+(2*0.025*24*31)</f>
        <v>57.2</v>
      </c>
      <c r="J17" s="13">
        <f>20+(2*0.025*24*31)</f>
        <v>57.2</v>
      </c>
      <c r="K17" s="13">
        <f>20+(2*0.025*24*31)</f>
        <v>57.2</v>
      </c>
      <c r="L17" s="13">
        <f>20+(2*0.025*24*30)</f>
        <v>56.000000000000007</v>
      </c>
      <c r="M17" s="13">
        <f>20+(2*0.025*24*31)</f>
        <v>57.2</v>
      </c>
      <c r="N17" s="5">
        <f t="shared" si="3"/>
        <v>679.2</v>
      </c>
      <c r="O17" s="6">
        <f>N17/5</f>
        <v>135.84</v>
      </c>
    </row>
    <row r="18" spans="1:15" x14ac:dyDescent="0.3">
      <c r="A18" s="7" t="s">
        <v>26</v>
      </c>
      <c r="B18" s="14">
        <f>20+(2*0.025*24*31)+(5*0.025*12*31)</f>
        <v>103.7</v>
      </c>
      <c r="C18" s="14">
        <f>20+(2*0.025*24*28)+(5*0.025*12*28)</f>
        <v>95.600000000000009</v>
      </c>
      <c r="D18" s="14">
        <f>20+(2*0.025*24*31)+(5*0.025*12*31)</f>
        <v>103.7</v>
      </c>
      <c r="E18" s="14">
        <f>20+(2*0.025*24*30)+(5*0.025*12*30)</f>
        <v>101</v>
      </c>
      <c r="F18" s="14">
        <f>20+(2*0.025*24*31)+(5*0.025*12*31)</f>
        <v>103.7</v>
      </c>
      <c r="G18" s="14">
        <f>20+(2*0.025*24*30)+(5*0.025*12*30)</f>
        <v>101</v>
      </c>
      <c r="H18" s="14">
        <f>20+(2*0.025*24*31)+(5*0.025*12*31)</f>
        <v>103.7</v>
      </c>
      <c r="I18" s="14">
        <f>20+(2*0.025*24*31)+(5*0.025*12*31)</f>
        <v>103.7</v>
      </c>
      <c r="J18" s="14">
        <f>20+(2*0.025*24*31)+(5*0.025*12*31)</f>
        <v>103.7</v>
      </c>
      <c r="K18" s="14">
        <f>20+(2*0.025*24*31)+(5*0.025*12*31)</f>
        <v>103.7</v>
      </c>
      <c r="L18" s="14">
        <f>20+(2*0.025*24*30)+(5*0.025*12*30)</f>
        <v>101</v>
      </c>
      <c r="M18" s="14">
        <f>20+(2*0.025*24*31)+(5*0.025*12*31)</f>
        <v>103.7</v>
      </c>
      <c r="N18" s="8">
        <f t="shared" si="3"/>
        <v>1228.2000000000003</v>
      </c>
      <c r="O18" s="9">
        <f t="shared" ref="O18:O19" si="5">N18/5</f>
        <v>245.64000000000004</v>
      </c>
    </row>
    <row r="19" spans="1:15" x14ac:dyDescent="0.3">
      <c r="A19" s="10" t="s">
        <v>27</v>
      </c>
      <c r="B19" s="15">
        <f>20+(2*0.025*24*31)+(5*0.025*24*31)</f>
        <v>150.19999999999999</v>
      </c>
      <c r="C19" s="15">
        <f>20+(2*0.025*24*28)+(5*0.025*24*28)</f>
        <v>137.60000000000002</v>
      </c>
      <c r="D19" s="15">
        <f>20+(2*0.025*24*31)+(5*0.025*24*31)</f>
        <v>150.19999999999999</v>
      </c>
      <c r="E19" s="15">
        <f>20+(2*0.025*24*30)+(5*0.025*24*30)</f>
        <v>146</v>
      </c>
      <c r="F19" s="15">
        <f>20+(2*0.025*24*31)+(5*0.025*24*31)</f>
        <v>150.19999999999999</v>
      </c>
      <c r="G19" s="15">
        <f>20+(2*0.025*24*30)+(5*0.025*24*30)</f>
        <v>146</v>
      </c>
      <c r="H19" s="15">
        <f>20+(2*0.025*24*31)+(5*0.025*24*31)</f>
        <v>150.19999999999999</v>
      </c>
      <c r="I19" s="15">
        <f>20+(2*0.025*24*31)+(5*0.025*24*31)</f>
        <v>150.19999999999999</v>
      </c>
      <c r="J19" s="15">
        <f>20+(2*0.025*24*31)+(5*0.025*24*31)</f>
        <v>150.19999999999999</v>
      </c>
      <c r="K19" s="15">
        <f>20+(2*0.025*24*31)+(5*0.025*24*31)</f>
        <v>150.19999999999999</v>
      </c>
      <c r="L19" s="15">
        <f>20+(2*0.025*24*30)+(5*0.025*24*30)</f>
        <v>146</v>
      </c>
      <c r="M19" s="15">
        <f>20+(2*0.025*24*31)+(5*0.025*24*31)</f>
        <v>150.19999999999999</v>
      </c>
      <c r="N19" s="11">
        <f t="shared" si="3"/>
        <v>1777.2000000000003</v>
      </c>
      <c r="O19" s="12">
        <f t="shared" si="5"/>
        <v>355.44000000000005</v>
      </c>
    </row>
    <row r="20" spans="1:15" x14ac:dyDescent="0.3">
      <c r="A20" s="3" t="s">
        <v>28</v>
      </c>
      <c r="B20" s="13">
        <f>20+(3*0.025*24*31)</f>
        <v>75.800000000000011</v>
      </c>
      <c r="C20" s="13">
        <f>20+(3*0.025*24*28)</f>
        <v>70.400000000000006</v>
      </c>
      <c r="D20" s="13">
        <f>20+(3*0.025*24*31)</f>
        <v>75.800000000000011</v>
      </c>
      <c r="E20" s="13">
        <f>20+(3*0.025*24*30)</f>
        <v>74</v>
      </c>
      <c r="F20" s="13">
        <f>20+(3*0.025*24*31)</f>
        <v>75.800000000000011</v>
      </c>
      <c r="G20" s="13">
        <f>20+(3*0.025*24*30)</f>
        <v>74</v>
      </c>
      <c r="H20" s="13">
        <f>20+(3*0.025*24*31)</f>
        <v>75.800000000000011</v>
      </c>
      <c r="I20" s="13">
        <f>20+(3*0.025*24*31)</f>
        <v>75.800000000000011</v>
      </c>
      <c r="J20" s="13">
        <f>20+(3*0.025*24*31)</f>
        <v>75.800000000000011</v>
      </c>
      <c r="K20" s="13">
        <f>20+(3*0.025*24*31)</f>
        <v>75.800000000000011</v>
      </c>
      <c r="L20" s="13">
        <f>20+(3*0.025*24*30)</f>
        <v>74</v>
      </c>
      <c r="M20" s="13">
        <f>20+(3*0.025*24*31)</f>
        <v>75.800000000000011</v>
      </c>
      <c r="N20" s="5">
        <f t="shared" si="3"/>
        <v>898.8</v>
      </c>
      <c r="O20" s="6">
        <f>N20/6</f>
        <v>149.79999999999998</v>
      </c>
    </row>
    <row r="21" spans="1:15" x14ac:dyDescent="0.3">
      <c r="A21" s="7" t="s">
        <v>29</v>
      </c>
      <c r="B21" s="14">
        <f>20+(3*0.025*24*31)+(6*0.025*12*31)</f>
        <v>131.60000000000002</v>
      </c>
      <c r="C21" s="14">
        <f>20+(3*0.025*24*28)+(6*0.025*12*28)</f>
        <v>120.80000000000001</v>
      </c>
      <c r="D21" s="14">
        <f>20+(3*0.025*24*31)+(6*0.025*12*31)</f>
        <v>131.60000000000002</v>
      </c>
      <c r="E21" s="14">
        <f>20+(3*0.025*24*30)+(6*0.025*12*30)</f>
        <v>128</v>
      </c>
      <c r="F21" s="14">
        <f>20+(3*0.025*24*31)+(6*0.025*12*31)</f>
        <v>131.60000000000002</v>
      </c>
      <c r="G21" s="14">
        <f>20+(3*0.025*24*30)+(6*0.025*12*30)</f>
        <v>128</v>
      </c>
      <c r="H21" s="14">
        <f>20+(3*0.025*24*31)+(6*0.025*12*31)</f>
        <v>131.60000000000002</v>
      </c>
      <c r="I21" s="14">
        <f>20+(3*0.025*24*31)+(6*0.025*12*31)</f>
        <v>131.60000000000002</v>
      </c>
      <c r="J21" s="14">
        <f>20+(3*0.025*24*31)+(6*0.025*12*31)</f>
        <v>131.60000000000002</v>
      </c>
      <c r="K21" s="14">
        <f>20+(3*0.025*24*31)+(6*0.025*12*31)</f>
        <v>131.60000000000002</v>
      </c>
      <c r="L21" s="14">
        <f>20+(3*0.025*24*30)+(6*0.025*12*30)</f>
        <v>128</v>
      </c>
      <c r="M21" s="14">
        <f>20+(3*0.025*24*31)+(6*0.025*12*31)</f>
        <v>131.60000000000002</v>
      </c>
      <c r="N21" s="8">
        <f t="shared" si="3"/>
        <v>1557.6</v>
      </c>
      <c r="O21" s="9">
        <f t="shared" ref="O21:O22" si="6">N21/6</f>
        <v>259.59999999999997</v>
      </c>
    </row>
    <row r="22" spans="1:15" x14ac:dyDescent="0.3">
      <c r="A22" s="10" t="s">
        <v>30</v>
      </c>
      <c r="B22" s="15">
        <f>20+(3*0.025*24*31)+(6*0.025*24*31)</f>
        <v>187.40000000000003</v>
      </c>
      <c r="C22" s="15">
        <f>20+(3*0.025*24*28)+(6*0.025*24*28)</f>
        <v>171.20000000000002</v>
      </c>
      <c r="D22" s="15">
        <f>20+(3*0.025*24*31)+(6*0.025*24*31)</f>
        <v>187.40000000000003</v>
      </c>
      <c r="E22" s="15">
        <f>20+(3*0.025*24*30)+(6*0.025*24*30)</f>
        <v>182</v>
      </c>
      <c r="F22" s="15">
        <f>20+(3*0.025*24*31)+(6*0.025*24*31)</f>
        <v>187.40000000000003</v>
      </c>
      <c r="G22" s="15">
        <f>20+(3*0.025*24*30)+(6*0.025*24*30)</f>
        <v>182</v>
      </c>
      <c r="H22" s="15">
        <f>20+(3*0.025*24*31)+(6*0.025*24*31)</f>
        <v>187.40000000000003</v>
      </c>
      <c r="I22" s="15">
        <f>20+(3*0.025*24*31)+(6*0.025*24*31)</f>
        <v>187.40000000000003</v>
      </c>
      <c r="J22" s="15">
        <f>20+(3*0.025*24*31)+(6*0.025*24*31)</f>
        <v>187.40000000000003</v>
      </c>
      <c r="K22" s="15">
        <f>20+(3*0.025*24*31)+(6*0.025*24*31)</f>
        <v>187.40000000000003</v>
      </c>
      <c r="L22" s="15">
        <f>20+(3*0.025*24*30)+(6*0.025*24*30)</f>
        <v>182</v>
      </c>
      <c r="M22" s="15">
        <f>20+(3*0.025*24*31)+(6*0.025*24*31)</f>
        <v>187.40000000000003</v>
      </c>
      <c r="N22" s="11">
        <f t="shared" si="3"/>
        <v>2216.4000000000005</v>
      </c>
      <c r="O22" s="12">
        <f t="shared" si="6"/>
        <v>369.40000000000009</v>
      </c>
    </row>
    <row r="23" spans="1:15" x14ac:dyDescent="0.3">
      <c r="A23" s="3" t="s">
        <v>31</v>
      </c>
      <c r="B23" s="13">
        <f>20+(4*0.025*24*31)</f>
        <v>94.4</v>
      </c>
      <c r="C23" s="13">
        <f>20+(4*0.025*24*28)</f>
        <v>87.200000000000017</v>
      </c>
      <c r="D23" s="13">
        <f>20+(4*0.025*24*31)</f>
        <v>94.4</v>
      </c>
      <c r="E23" s="13">
        <f>20+(4*0.025*24*30)</f>
        <v>92.000000000000014</v>
      </c>
      <c r="F23" s="13">
        <f>20+(4*0.025*24*31)</f>
        <v>94.4</v>
      </c>
      <c r="G23" s="13">
        <f>20+(4*0.025*24*30)</f>
        <v>92.000000000000014</v>
      </c>
      <c r="H23" s="13">
        <f>20+(4*0.025*24*31)</f>
        <v>94.4</v>
      </c>
      <c r="I23" s="13">
        <f>20+(4*0.025*24*31)</f>
        <v>94.4</v>
      </c>
      <c r="J23" s="13">
        <f>20+(4*0.025*24*31)</f>
        <v>94.4</v>
      </c>
      <c r="K23" s="13">
        <f>20+(4*0.025*24*31)</f>
        <v>94.4</v>
      </c>
      <c r="L23" s="13">
        <f>20+(4*0.025*24*30)</f>
        <v>92.000000000000014</v>
      </c>
      <c r="M23" s="13">
        <f>20+(4*0.025*24*31)</f>
        <v>94.4</v>
      </c>
      <c r="N23" s="5">
        <f t="shared" si="3"/>
        <v>1118.3999999999999</v>
      </c>
      <c r="O23" s="6">
        <f>N23/7</f>
        <v>159.77142857142854</v>
      </c>
    </row>
    <row r="24" spans="1:15" x14ac:dyDescent="0.3">
      <c r="A24" s="7" t="s">
        <v>32</v>
      </c>
      <c r="B24" s="14">
        <f>20+(4*0.025*24*31)+(7*0.025*12*31)</f>
        <v>159.5</v>
      </c>
      <c r="C24" s="14">
        <f>20+(4*0.025*24*28)+(7*0.025*12*28)</f>
        <v>146.00000000000003</v>
      </c>
      <c r="D24" s="14">
        <f>20+(4*0.025*24*31)+(7*0.025*12*31)</f>
        <v>159.5</v>
      </c>
      <c r="E24" s="14">
        <f>20+(4*0.025*24*30)+(7*0.025*12*30)</f>
        <v>155</v>
      </c>
      <c r="F24" s="14">
        <f>20+(4*0.025*24*31)+(7*0.025*12*31)</f>
        <v>159.5</v>
      </c>
      <c r="G24" s="14">
        <f>20+(4*0.025*24*30)+(7*0.025*12*30)</f>
        <v>155</v>
      </c>
      <c r="H24" s="14">
        <f>20+(4*0.025*24*31)+(7*0.025*12*31)</f>
        <v>159.5</v>
      </c>
      <c r="I24" s="14">
        <f>20+(4*0.025*24*31)+(7*0.025*12*31)</f>
        <v>159.5</v>
      </c>
      <c r="J24" s="14">
        <f>20+(4*0.025*24*31)+(7*0.025*12*31)</f>
        <v>159.5</v>
      </c>
      <c r="K24" s="14">
        <f>20+(4*0.025*24*31)+(7*0.025*12*31)</f>
        <v>159.5</v>
      </c>
      <c r="L24" s="14">
        <f>20+(4*0.025*24*30)+(7*0.025*12*30)</f>
        <v>155</v>
      </c>
      <c r="M24" s="14">
        <f>20+(4*0.025*24*31)+(7*0.025*12*31)</f>
        <v>159.5</v>
      </c>
      <c r="N24" s="8">
        <f t="shared" si="3"/>
        <v>1887</v>
      </c>
      <c r="O24" s="9">
        <f t="shared" ref="O24:O25" si="7">N24/7</f>
        <v>269.57142857142856</v>
      </c>
    </row>
    <row r="25" spans="1:15" x14ac:dyDescent="0.3">
      <c r="A25" s="7" t="s">
        <v>33</v>
      </c>
      <c r="B25" s="14">
        <f>20+(4*0.025*24*31)+(7*0.025*24*31)</f>
        <v>224.60000000000002</v>
      </c>
      <c r="C25" s="14">
        <f>20+(4*0.025*24*28)+(7*0.025*24*28)</f>
        <v>204.8</v>
      </c>
      <c r="D25" s="14">
        <f>20+(4*0.025*24*31)+(7*0.025*24*31)</f>
        <v>224.60000000000002</v>
      </c>
      <c r="E25" s="14">
        <f>20+(4*0.025*24*30)+(7*0.025*24*30)</f>
        <v>218</v>
      </c>
      <c r="F25" s="14">
        <f>20+(4*0.025*24*31)+(7*0.025*24*31)</f>
        <v>224.60000000000002</v>
      </c>
      <c r="G25" s="14">
        <f>20+(4*0.025*24*30)+(7*0.025*24*30)</f>
        <v>218</v>
      </c>
      <c r="H25" s="14">
        <f>20+(4*0.025*24*31)+(7*0.025*24*31)</f>
        <v>224.60000000000002</v>
      </c>
      <c r="I25" s="14">
        <f>20+(4*0.025*24*31)+(7*0.025*24*31)</f>
        <v>224.60000000000002</v>
      </c>
      <c r="J25" s="14">
        <f>20+(4*0.025*24*31)+(7*0.025*24*31)</f>
        <v>224.60000000000002</v>
      </c>
      <c r="K25" s="14">
        <f>20+(4*0.025*24*31)+(7*0.025*24*31)</f>
        <v>224.60000000000002</v>
      </c>
      <c r="L25" s="14">
        <f>20+(4*0.025*24*30)+(7*0.025*24*30)</f>
        <v>218</v>
      </c>
      <c r="M25" s="14">
        <f>20+(4*0.025*24*31)+(7*0.025*24*31)</f>
        <v>224.60000000000002</v>
      </c>
      <c r="N25" s="8">
        <f t="shared" si="3"/>
        <v>2655.5999999999995</v>
      </c>
      <c r="O25" s="9">
        <f t="shared" si="7"/>
        <v>379.37142857142851</v>
      </c>
    </row>
    <row r="26" spans="1:15" x14ac:dyDescent="0.3">
      <c r="A26" s="3" t="s">
        <v>35</v>
      </c>
      <c r="B26" s="13">
        <f>20+(5*0.025*24*31)</f>
        <v>113</v>
      </c>
      <c r="C26" s="13">
        <f>20+(5*0.025*24*28)</f>
        <v>104</v>
      </c>
      <c r="D26" s="13">
        <f>20+(5*0.025*24*31)</f>
        <v>113</v>
      </c>
      <c r="E26" s="13">
        <f>20+(5*0.025*24*30)</f>
        <v>110</v>
      </c>
      <c r="F26" s="13">
        <f>20+(5*0.025*24*31)</f>
        <v>113</v>
      </c>
      <c r="G26" s="13">
        <f>20+(5*0.025*24*30)</f>
        <v>110</v>
      </c>
      <c r="H26" s="13">
        <f>20+(5*0.025*24*31)</f>
        <v>113</v>
      </c>
      <c r="I26" s="13">
        <f>20+(5*0.025*24*31)</f>
        <v>113</v>
      </c>
      <c r="J26" s="13">
        <f>20+(5*0.025*24*31)</f>
        <v>113</v>
      </c>
      <c r="K26" s="13">
        <f>20+(5*0.025*24*31)</f>
        <v>113</v>
      </c>
      <c r="L26" s="13">
        <f>20+(5*0.025*24*30)</f>
        <v>110</v>
      </c>
      <c r="M26" s="13">
        <f>20+(5*0.025*24*31)</f>
        <v>113</v>
      </c>
      <c r="N26" s="5">
        <f t="shared" ref="N26:N28" si="8">SUM(B26:M26)</f>
        <v>1338</v>
      </c>
      <c r="O26" s="6">
        <f>N26/8</f>
        <v>167.25</v>
      </c>
    </row>
    <row r="27" spans="1:15" x14ac:dyDescent="0.3">
      <c r="A27" s="7" t="s">
        <v>36</v>
      </c>
      <c r="B27" s="14">
        <f>20+(5*0.025*24*31)+(8*0.025*12*31)</f>
        <v>187.4</v>
      </c>
      <c r="C27" s="14">
        <f>20+(5*0.025*24*28)+(8*0.025*12*28)</f>
        <v>171.20000000000002</v>
      </c>
      <c r="D27" s="14">
        <f>20+(5*0.025*24*31)+(8*0.025*12*31)</f>
        <v>187.4</v>
      </c>
      <c r="E27" s="14">
        <f>20+(5*0.025*24*30)+(8*0.025*12*30)</f>
        <v>182</v>
      </c>
      <c r="F27" s="14">
        <f>20+(5*0.025*24*31)+(8*0.025*12*31)</f>
        <v>187.4</v>
      </c>
      <c r="G27" s="14">
        <f>20+(5*0.025*24*30)+(8*0.025*12*30)</f>
        <v>182</v>
      </c>
      <c r="H27" s="14">
        <f>20+(5*0.025*24*31)+(8*0.025*12*31)</f>
        <v>187.4</v>
      </c>
      <c r="I27" s="14">
        <f>20+(5*0.025*24*31)+(8*0.025*12*31)</f>
        <v>187.4</v>
      </c>
      <c r="J27" s="14">
        <f>20+(5*0.025*24*31)+(8*0.025*12*31)</f>
        <v>187.4</v>
      </c>
      <c r="K27" s="14">
        <f>20+(5*0.025*24*31)+(8*0.025*12*31)</f>
        <v>187.4</v>
      </c>
      <c r="L27" s="14">
        <f>20+(5*0.025*24*30)+(8*0.025*12*30)</f>
        <v>182</v>
      </c>
      <c r="M27" s="14">
        <f>20+(5*0.025*24*31)+(8*0.025*12*31)</f>
        <v>187.4</v>
      </c>
      <c r="N27" s="8">
        <f t="shared" si="8"/>
        <v>2216.4000000000005</v>
      </c>
      <c r="O27" s="9">
        <f t="shared" ref="O27:O28" si="9">N27/8</f>
        <v>277.05000000000007</v>
      </c>
    </row>
    <row r="28" spans="1:15" x14ac:dyDescent="0.3">
      <c r="A28" s="10" t="s">
        <v>37</v>
      </c>
      <c r="B28" s="15">
        <f>20+(5*0.025*24*31)+(8*0.025*24*31)</f>
        <v>261.8</v>
      </c>
      <c r="C28" s="15">
        <f>20+(5*0.025*24*28)+(8*0.025*24*28)</f>
        <v>238.40000000000003</v>
      </c>
      <c r="D28" s="15">
        <f>20+(5*0.025*24*31)+(8*0.025*24*31)</f>
        <v>261.8</v>
      </c>
      <c r="E28" s="15">
        <f>20+(5*0.025*24*30)+(8*0.025*24*30)</f>
        <v>254.00000000000003</v>
      </c>
      <c r="F28" s="15">
        <f>20+(5*0.025*24*31)+(8*0.025*24*31)</f>
        <v>261.8</v>
      </c>
      <c r="G28" s="15">
        <f>20+(5*0.025*24*30)+(8*0.025*24*30)</f>
        <v>254.00000000000003</v>
      </c>
      <c r="H28" s="15">
        <f>20+(5*0.025*24*31)+(8*0.025*24*31)</f>
        <v>261.8</v>
      </c>
      <c r="I28" s="15">
        <f>20+(5*0.025*24*31)+(8*0.025*24*31)</f>
        <v>261.8</v>
      </c>
      <c r="J28" s="15">
        <f>20+(5*0.025*24*31)+(8*0.025*24*31)</f>
        <v>261.8</v>
      </c>
      <c r="K28" s="15">
        <f>20+(5*0.025*24*31)+(8*0.025*24*31)</f>
        <v>261.8</v>
      </c>
      <c r="L28" s="15">
        <f>20+(5*0.025*24*30)+(8*0.025*24*30)</f>
        <v>254.00000000000003</v>
      </c>
      <c r="M28" s="15">
        <f>20+(5*0.025*24*31)+(8*0.025*24*31)</f>
        <v>261.8</v>
      </c>
      <c r="N28" s="11">
        <f t="shared" si="8"/>
        <v>3094.8000000000006</v>
      </c>
      <c r="O28" s="12">
        <f t="shared" si="9"/>
        <v>386.85000000000008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workbookViewId="0">
      <selection activeCell="A31" sqref="A31"/>
    </sheetView>
  </sheetViews>
  <sheetFormatPr defaultRowHeight="14.4" x14ac:dyDescent="0.3"/>
  <cols>
    <col min="1" max="1" width="58.77734375" customWidth="1"/>
    <col min="14" max="14" width="12.6640625" customWidth="1"/>
    <col min="15" max="15" width="14.33203125" customWidth="1"/>
  </cols>
  <sheetData>
    <row r="2" spans="1:15" x14ac:dyDescent="0.3">
      <c r="A2" s="1" t="s">
        <v>18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1"/>
    </row>
    <row r="3" spans="1:15" x14ac:dyDescent="0.3">
      <c r="A3" s="16" t="s">
        <v>13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8">
        <f>SUM(B3:M3)</f>
        <v>0</v>
      </c>
    </row>
    <row r="4" spans="1:15" x14ac:dyDescent="0.3">
      <c r="A4" s="16" t="s">
        <v>38</v>
      </c>
      <c r="B4" s="19">
        <f>20</f>
        <v>20</v>
      </c>
      <c r="C4" s="19">
        <f>20</f>
        <v>20</v>
      </c>
      <c r="D4" s="19">
        <f>20</f>
        <v>20</v>
      </c>
      <c r="E4" s="19">
        <f>20</f>
        <v>20</v>
      </c>
      <c r="F4" s="19">
        <f>20</f>
        <v>20</v>
      </c>
      <c r="G4" s="19">
        <f>20</f>
        <v>20</v>
      </c>
      <c r="H4" s="19">
        <f>20</f>
        <v>20</v>
      </c>
      <c r="I4" s="19">
        <f>20</f>
        <v>20</v>
      </c>
      <c r="J4" s="19">
        <f>20</f>
        <v>20</v>
      </c>
      <c r="K4" s="19">
        <f>20</f>
        <v>20</v>
      </c>
      <c r="L4" s="19">
        <f>20</f>
        <v>20</v>
      </c>
      <c r="M4" s="19">
        <f>20</f>
        <v>20</v>
      </c>
      <c r="N4" s="18">
        <f>SUM(B4:M4)</f>
        <v>240</v>
      </c>
    </row>
    <row r="5" spans="1:15" x14ac:dyDescent="0.3">
      <c r="A5" s="3" t="s">
        <v>15</v>
      </c>
      <c r="B5" s="4">
        <f>20+(0.05*12*31)</f>
        <v>38.6</v>
      </c>
      <c r="C5" s="4">
        <f>20+(0.05*12*28)</f>
        <v>36.800000000000004</v>
      </c>
      <c r="D5" s="4">
        <f>20+(0.05*12*31)</f>
        <v>38.6</v>
      </c>
      <c r="E5" s="4">
        <f>20+(0.05*12*30)</f>
        <v>38</v>
      </c>
      <c r="F5" s="4">
        <f>20+(0.05*12*31)</f>
        <v>38.6</v>
      </c>
      <c r="G5" s="4">
        <f>20+(0.05*12*30)</f>
        <v>38</v>
      </c>
      <c r="H5" s="4">
        <f>20+(0.05*12*31)</f>
        <v>38.6</v>
      </c>
      <c r="I5" s="4">
        <f>20+(0.05*12*31)</f>
        <v>38.6</v>
      </c>
      <c r="J5" s="4">
        <f>20+(0.05*12*31)</f>
        <v>38.6</v>
      </c>
      <c r="K5" s="4">
        <f>20+(0.05*12*31)</f>
        <v>38.6</v>
      </c>
      <c r="L5" s="4">
        <f>20+(0.05*12*30)</f>
        <v>38</v>
      </c>
      <c r="M5" s="4">
        <f>20+(0.05*12*31)</f>
        <v>38.6</v>
      </c>
      <c r="N5" s="20">
        <f t="shared" ref="N5:N8" si="0">SUM(B5:M5)</f>
        <v>459.60000000000008</v>
      </c>
    </row>
    <row r="6" spans="1:15" x14ac:dyDescent="0.3">
      <c r="A6" s="10" t="s">
        <v>14</v>
      </c>
      <c r="B6" s="21">
        <f>20+(0.05*24*31)</f>
        <v>57.2</v>
      </c>
      <c r="C6" s="21">
        <f>20+(0.05*24*28)</f>
        <v>53.600000000000009</v>
      </c>
      <c r="D6" s="21">
        <f>20+(0.05*24*31)</f>
        <v>57.2</v>
      </c>
      <c r="E6" s="21">
        <f>20+(0.05*24*30)</f>
        <v>56.000000000000007</v>
      </c>
      <c r="F6" s="21">
        <f>20+(0.05*24*31)</f>
        <v>57.2</v>
      </c>
      <c r="G6" s="21">
        <f>20+(0.05*24*30)</f>
        <v>56.000000000000007</v>
      </c>
      <c r="H6" s="21">
        <f t="shared" ref="H6:K7" si="1">20+(0.05*24*31)</f>
        <v>57.2</v>
      </c>
      <c r="I6" s="21">
        <f t="shared" si="1"/>
        <v>57.2</v>
      </c>
      <c r="J6" s="21">
        <f t="shared" si="1"/>
        <v>57.2</v>
      </c>
      <c r="K6" s="21">
        <f t="shared" si="1"/>
        <v>57.2</v>
      </c>
      <c r="L6" s="21">
        <f>20+(0.05*24*30)</f>
        <v>56.000000000000007</v>
      </c>
      <c r="M6" s="21">
        <f>20+(0.05*24*31)</f>
        <v>57.2</v>
      </c>
      <c r="N6" s="22">
        <f t="shared" si="0"/>
        <v>679.2</v>
      </c>
    </row>
    <row r="7" spans="1:15" x14ac:dyDescent="0.3">
      <c r="A7" s="3" t="s">
        <v>16</v>
      </c>
      <c r="B7" s="13">
        <f>20+(0.05*24*31)</f>
        <v>57.2</v>
      </c>
      <c r="C7" s="13">
        <f>20+(0.05*24*28)</f>
        <v>53.600000000000009</v>
      </c>
      <c r="D7" s="13">
        <f>20+(0.05*24*31)</f>
        <v>57.2</v>
      </c>
      <c r="E7" s="13">
        <f>20+(0.05*24*30)</f>
        <v>56.000000000000007</v>
      </c>
      <c r="F7" s="13">
        <f>20+(0.05*24*31)</f>
        <v>57.2</v>
      </c>
      <c r="G7" s="13">
        <f>20+(0.05*24*30)</f>
        <v>56.000000000000007</v>
      </c>
      <c r="H7" s="13">
        <f t="shared" si="1"/>
        <v>57.2</v>
      </c>
      <c r="I7" s="13">
        <f t="shared" si="1"/>
        <v>57.2</v>
      </c>
      <c r="J7" s="13">
        <f t="shared" si="1"/>
        <v>57.2</v>
      </c>
      <c r="K7" s="13">
        <f t="shared" si="1"/>
        <v>57.2</v>
      </c>
      <c r="L7" s="13">
        <f>20+(0.05*24*30)</f>
        <v>56.000000000000007</v>
      </c>
      <c r="M7" s="13">
        <f>20+(0.05*24*31)</f>
        <v>57.2</v>
      </c>
      <c r="N7" s="20">
        <f t="shared" si="0"/>
        <v>679.2</v>
      </c>
    </row>
    <row r="8" spans="1:15" x14ac:dyDescent="0.3">
      <c r="A8" s="10" t="s">
        <v>17</v>
      </c>
      <c r="B8" s="15">
        <f>20+(0.05*24*2*31)</f>
        <v>94.4</v>
      </c>
      <c r="C8" s="15">
        <f>20+(0.05*24*2*28)</f>
        <v>87.200000000000017</v>
      </c>
      <c r="D8" s="15">
        <f>20+(0.05*24*2*31)</f>
        <v>94.4</v>
      </c>
      <c r="E8" s="15">
        <f>20+(0.05*24*2*30)</f>
        <v>92.000000000000014</v>
      </c>
      <c r="F8" s="15">
        <f>20+(0.05*24*2*31)</f>
        <v>94.4</v>
      </c>
      <c r="G8" s="15">
        <f>20+(0.05*24*2*30)</f>
        <v>92.000000000000014</v>
      </c>
      <c r="H8" s="15">
        <f>20+(0.05*24*2*31)</f>
        <v>94.4</v>
      </c>
      <c r="I8" s="15">
        <f>20+(0.05*24*2*31)</f>
        <v>94.4</v>
      </c>
      <c r="J8" s="15">
        <f>20+(0.05*24*2*31)</f>
        <v>94.4</v>
      </c>
      <c r="K8" s="15">
        <f>20+(0.05*24*2*31)</f>
        <v>94.4</v>
      </c>
      <c r="L8" s="15">
        <f>20+(0.05*24*2*30)</f>
        <v>92.000000000000014</v>
      </c>
      <c r="M8" s="15">
        <f>20+(0.05*24*2*31)</f>
        <v>94.4</v>
      </c>
      <c r="N8" s="22">
        <f t="shared" si="0"/>
        <v>1118.3999999999999</v>
      </c>
    </row>
    <row r="9" spans="1:15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57.6" x14ac:dyDescent="0.3">
      <c r="A11" s="1" t="s">
        <v>19</v>
      </c>
      <c r="B11" s="24" t="s">
        <v>0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11</v>
      </c>
      <c r="N11" s="23" t="s">
        <v>12</v>
      </c>
      <c r="O11" s="25" t="s">
        <v>39</v>
      </c>
    </row>
    <row r="12" spans="1:15" x14ac:dyDescent="0.3">
      <c r="A12" s="3" t="s">
        <v>22</v>
      </c>
      <c r="B12" s="13">
        <f>20</f>
        <v>20</v>
      </c>
      <c r="C12" s="13">
        <f>20</f>
        <v>20</v>
      </c>
      <c r="D12" s="13">
        <f>20</f>
        <v>20</v>
      </c>
      <c r="E12" s="13">
        <f>20</f>
        <v>20</v>
      </c>
      <c r="F12" s="13">
        <f>20</f>
        <v>20</v>
      </c>
      <c r="G12" s="13">
        <f>20</f>
        <v>20</v>
      </c>
      <c r="H12" s="13">
        <f>20</f>
        <v>20</v>
      </c>
      <c r="I12" s="13">
        <f>20</f>
        <v>20</v>
      </c>
      <c r="J12" s="13">
        <f>20</f>
        <v>20</v>
      </c>
      <c r="K12" s="13">
        <f>20</f>
        <v>20</v>
      </c>
      <c r="L12" s="13">
        <f>20</f>
        <v>20</v>
      </c>
      <c r="M12" s="13">
        <f>20</f>
        <v>20</v>
      </c>
      <c r="N12" s="5">
        <f>SUM(B12:M12)</f>
        <v>240</v>
      </c>
      <c r="O12" s="6">
        <f>N12/3</f>
        <v>80</v>
      </c>
    </row>
    <row r="13" spans="1:15" x14ac:dyDescent="0.3">
      <c r="A13" s="7" t="s">
        <v>23</v>
      </c>
      <c r="B13" s="14">
        <f>20+(0.05*12*3*31)</f>
        <v>75.800000000000011</v>
      </c>
      <c r="C13" s="14">
        <f>20+(0.05*12*3*28)</f>
        <v>70.400000000000006</v>
      </c>
      <c r="D13" s="14">
        <f>20+(0.05*12*3*31)</f>
        <v>75.800000000000011</v>
      </c>
      <c r="E13" s="14">
        <f>20+(0.05*12*3*30)</f>
        <v>74</v>
      </c>
      <c r="F13" s="14">
        <f>20+(0.05*12*3*31)</f>
        <v>75.800000000000011</v>
      </c>
      <c r="G13" s="14">
        <f>20+(0.05*12*3*30)</f>
        <v>74</v>
      </c>
      <c r="H13" s="14">
        <f>20+(0.05*12*3*31)</f>
        <v>75.800000000000011</v>
      </c>
      <c r="I13" s="14">
        <f>20+(0.05*12*3*31)</f>
        <v>75.800000000000011</v>
      </c>
      <c r="J13" s="14">
        <f>20+(0.05*12*3*31)</f>
        <v>75.800000000000011</v>
      </c>
      <c r="K13" s="14">
        <f>20+(0.05*12*3*31)</f>
        <v>75.800000000000011</v>
      </c>
      <c r="L13" s="14">
        <f>20+(0.05*12*3*30)</f>
        <v>74</v>
      </c>
      <c r="M13" s="14">
        <f>20+(0.05*12*3*31)</f>
        <v>75.800000000000011</v>
      </c>
      <c r="N13" s="8">
        <f>SUM(B13:M13)</f>
        <v>898.8</v>
      </c>
      <c r="O13" s="9">
        <f t="shared" ref="O13:O14" si="2">N13/3</f>
        <v>299.59999999999997</v>
      </c>
    </row>
    <row r="14" spans="1:15" x14ac:dyDescent="0.3">
      <c r="A14" s="10" t="s">
        <v>34</v>
      </c>
      <c r="B14" s="15">
        <f>20+(3*0.05*24*31)</f>
        <v>131.60000000000002</v>
      </c>
      <c r="C14" s="15">
        <f>20+(3*0.05*24*28)</f>
        <v>120.80000000000001</v>
      </c>
      <c r="D14" s="15">
        <f>20+(3*0.05*24*31)</f>
        <v>131.60000000000002</v>
      </c>
      <c r="E14" s="15">
        <f>20+(3*0.05*24*30)</f>
        <v>128</v>
      </c>
      <c r="F14" s="15">
        <f>20+(3*0.05*24*31)</f>
        <v>131.60000000000002</v>
      </c>
      <c r="G14" s="15">
        <f>20+(3*0.05*24*30)</f>
        <v>128</v>
      </c>
      <c r="H14" s="15">
        <f>20+(3*0.05*24*31)</f>
        <v>131.60000000000002</v>
      </c>
      <c r="I14" s="15">
        <f>20+(3*0.05*24*31)</f>
        <v>131.60000000000002</v>
      </c>
      <c r="J14" s="15">
        <f>20+(3*0.05*24*31)</f>
        <v>131.60000000000002</v>
      </c>
      <c r="K14" s="15">
        <f>20+(3*0.05*24*31)</f>
        <v>131.60000000000002</v>
      </c>
      <c r="L14" s="15">
        <f>20+(3*0.05*24*30)</f>
        <v>128</v>
      </c>
      <c r="M14" s="15">
        <f>20+(3*0.05*24*31)</f>
        <v>131.60000000000002</v>
      </c>
      <c r="N14" s="11">
        <f>SUM(B14:M14)</f>
        <v>1557.6</v>
      </c>
      <c r="O14" s="12">
        <f t="shared" si="2"/>
        <v>519.19999999999993</v>
      </c>
    </row>
    <row r="15" spans="1:15" x14ac:dyDescent="0.3">
      <c r="A15" s="3" t="s">
        <v>20</v>
      </c>
      <c r="B15" s="13">
        <f>20 + (0.05*24*31)</f>
        <v>57.2</v>
      </c>
      <c r="C15" s="13">
        <f>20 + (0.05*24*28)</f>
        <v>53.600000000000009</v>
      </c>
      <c r="D15" s="13">
        <f>20 + (0.05*24*31)</f>
        <v>57.2</v>
      </c>
      <c r="E15" s="13">
        <f>20 + (0.05*24*30)</f>
        <v>56.000000000000007</v>
      </c>
      <c r="F15" s="13">
        <f>20 + (0.05*24*31)</f>
        <v>57.2</v>
      </c>
      <c r="G15" s="13">
        <f>20 + (0.05*24*30)</f>
        <v>56.000000000000007</v>
      </c>
      <c r="H15" s="13">
        <f>20 + (0.05*24*31)</f>
        <v>57.2</v>
      </c>
      <c r="I15" s="13">
        <f>20 + (0.05*24*31)</f>
        <v>57.2</v>
      </c>
      <c r="J15" s="13">
        <f>20 + (0.05*24*31)</f>
        <v>57.2</v>
      </c>
      <c r="K15" s="13">
        <f>20 + (0.05*24*31)</f>
        <v>57.2</v>
      </c>
      <c r="L15" s="13">
        <f>20 + (0.05*24*30)</f>
        <v>56.000000000000007</v>
      </c>
      <c r="M15" s="13">
        <f>20 + (0.05*24*31)</f>
        <v>57.2</v>
      </c>
      <c r="N15" s="5">
        <f>SUM(B15:M15)</f>
        <v>679.2</v>
      </c>
      <c r="O15" s="6">
        <f>N15/4</f>
        <v>169.8</v>
      </c>
    </row>
    <row r="16" spans="1:15" x14ac:dyDescent="0.3">
      <c r="A16" s="7" t="s">
        <v>24</v>
      </c>
      <c r="B16" s="14">
        <f>20+(0.05*24*31)+(4*0.05*12*31)</f>
        <v>131.60000000000002</v>
      </c>
      <c r="C16" s="14">
        <f>20+(0.05*24*28)+(4*0.05*12*28)</f>
        <v>120.80000000000003</v>
      </c>
      <c r="D16" s="14">
        <f>20+(0.05*24*31)+(4*0.05*12*31)</f>
        <v>131.60000000000002</v>
      </c>
      <c r="E16" s="14">
        <f>20+(0.05*24*30)+(4*0.05*12*30)</f>
        <v>128.00000000000003</v>
      </c>
      <c r="F16" s="14">
        <f>20+(0.05*24*31)+(4*0.05*12*31)</f>
        <v>131.60000000000002</v>
      </c>
      <c r="G16" s="14">
        <f>20+(0.05*24*30)+(4*0.05*12*30)</f>
        <v>128.00000000000003</v>
      </c>
      <c r="H16" s="14">
        <f>20+(0.05*24*31)+(4*0.05*12*31)</f>
        <v>131.60000000000002</v>
      </c>
      <c r="I16" s="14">
        <f>20+(0.05*24*31)+(4*0.05*12*31)</f>
        <v>131.60000000000002</v>
      </c>
      <c r="J16" s="14">
        <f>20+(0.05*24*31)+(4*0.05*12*31)</f>
        <v>131.60000000000002</v>
      </c>
      <c r="K16" s="14">
        <f>20+(0.05*24*31)+(4*0.05*12*31)</f>
        <v>131.60000000000002</v>
      </c>
      <c r="L16" s="14">
        <f>20+(0.05*24*30)+(4*0.05*12*30)</f>
        <v>128.00000000000003</v>
      </c>
      <c r="M16" s="14">
        <f>20+(0.05*24*31)+(4*0.05*12*31)</f>
        <v>131.60000000000002</v>
      </c>
      <c r="N16" s="8">
        <f t="shared" ref="N16:N26" si="3">SUM(B16:M16)</f>
        <v>1557.6</v>
      </c>
      <c r="O16" s="9">
        <f t="shared" ref="O16:O17" si="4">N16/4</f>
        <v>389.4</v>
      </c>
    </row>
    <row r="17" spans="1:15" x14ac:dyDescent="0.3">
      <c r="A17" s="10" t="s">
        <v>25</v>
      </c>
      <c r="B17" s="15">
        <f>20+(0.05*24*31)+(4*0.05*24*31)</f>
        <v>206</v>
      </c>
      <c r="C17" s="15">
        <f>20+(0.05*24*28)+(4*0.05*24*28)</f>
        <v>188.00000000000006</v>
      </c>
      <c r="D17" s="15">
        <f>20+(0.05*24*31)+(4*0.05*24*31)</f>
        <v>206</v>
      </c>
      <c r="E17" s="15">
        <f>20+(0.05*24*30)+(4*0.05*24*30)</f>
        <v>200.00000000000003</v>
      </c>
      <c r="F17" s="15">
        <f>20+(0.05*24*31)+(4*0.05*24*31)</f>
        <v>206</v>
      </c>
      <c r="G17" s="15">
        <f>20+(0.05*24*30)+(4*0.05*24*30)</f>
        <v>200.00000000000003</v>
      </c>
      <c r="H17" s="15">
        <f>20+(0.05*24*31)+(4*0.05*24*31)</f>
        <v>206</v>
      </c>
      <c r="I17" s="15">
        <f>20+(0.05*24*31)+(4*0.05*24*31)</f>
        <v>206</v>
      </c>
      <c r="J17" s="15">
        <f>20+(0.05*24*31)+(4*0.05*24*31)</f>
        <v>206</v>
      </c>
      <c r="K17" s="15">
        <f>20+(0.05*24*31)+(4*0.05*24*31)</f>
        <v>206</v>
      </c>
      <c r="L17" s="15">
        <f>20+(0.05*24*30)+(4*0.05*24*30)</f>
        <v>200.00000000000003</v>
      </c>
      <c r="M17" s="15">
        <f>20+(0.05*24*31)+(4*0.05*24*31)</f>
        <v>206</v>
      </c>
      <c r="N17" s="11">
        <f t="shared" si="3"/>
        <v>2436</v>
      </c>
      <c r="O17" s="12">
        <f t="shared" si="4"/>
        <v>609</v>
      </c>
    </row>
    <row r="18" spans="1:15" x14ac:dyDescent="0.3">
      <c r="A18" s="3" t="s">
        <v>21</v>
      </c>
      <c r="B18" s="13">
        <f>20+(2*0.05*24*31)</f>
        <v>94.4</v>
      </c>
      <c r="C18" s="13">
        <f>20+(2*0.05*24*28)</f>
        <v>87.200000000000017</v>
      </c>
      <c r="D18" s="13">
        <f>20+(2*0.05*24*31)</f>
        <v>94.4</v>
      </c>
      <c r="E18" s="13">
        <f>20+(2*0.05*24*30)</f>
        <v>92.000000000000014</v>
      </c>
      <c r="F18" s="13">
        <f>20+(2*0.05*24*31)</f>
        <v>94.4</v>
      </c>
      <c r="G18" s="13">
        <f>20+(2*0.05*24*30)</f>
        <v>92.000000000000014</v>
      </c>
      <c r="H18" s="13">
        <f>20+(2*0.05*24*31)</f>
        <v>94.4</v>
      </c>
      <c r="I18" s="13">
        <f>20+(2*0.05*24*31)</f>
        <v>94.4</v>
      </c>
      <c r="J18" s="13">
        <f>20+(2*0.05*24*31)</f>
        <v>94.4</v>
      </c>
      <c r="K18" s="13">
        <f>20+(2*0.05*24*31)</f>
        <v>94.4</v>
      </c>
      <c r="L18" s="13">
        <f>20+(2*0.05*24*30)</f>
        <v>92.000000000000014</v>
      </c>
      <c r="M18" s="13">
        <f>20+(2*0.05*24*31)</f>
        <v>94.4</v>
      </c>
      <c r="N18" s="5">
        <f t="shared" si="3"/>
        <v>1118.3999999999999</v>
      </c>
      <c r="O18" s="6">
        <f>N18/5</f>
        <v>223.67999999999998</v>
      </c>
    </row>
    <row r="19" spans="1:15" x14ac:dyDescent="0.3">
      <c r="A19" s="7" t="s">
        <v>26</v>
      </c>
      <c r="B19" s="14">
        <f>20+(2*0.05*24*31)+(5*0.05*12*31)</f>
        <v>187.4</v>
      </c>
      <c r="C19" s="14">
        <f>20+(2*0.05*24*28)+(5*0.05*12*28)</f>
        <v>171.20000000000002</v>
      </c>
      <c r="D19" s="14">
        <f>20+(2*0.05*24*31)+(5*0.05*12*31)</f>
        <v>187.4</v>
      </c>
      <c r="E19" s="14">
        <f>20+(2*0.05*24*30)+(5*0.05*12*30)</f>
        <v>182</v>
      </c>
      <c r="F19" s="14">
        <f>20+(2*0.05*24*31)+(5*0.05*12*31)</f>
        <v>187.4</v>
      </c>
      <c r="G19" s="14">
        <f>20+(2*0.05*24*30)+(5*0.05*12*30)</f>
        <v>182</v>
      </c>
      <c r="H19" s="14">
        <f>20+(2*0.05*24*31)+(5*0.05*12*31)</f>
        <v>187.4</v>
      </c>
      <c r="I19" s="14">
        <f>20+(2*0.05*24*31)+(5*0.05*12*31)</f>
        <v>187.4</v>
      </c>
      <c r="J19" s="14">
        <f>20+(2*0.05*24*31)+(5*0.05*12*31)</f>
        <v>187.4</v>
      </c>
      <c r="K19" s="14">
        <f>20+(2*0.05*24*31)+(5*0.05*12*31)</f>
        <v>187.4</v>
      </c>
      <c r="L19" s="14">
        <f>20+(2*0.05*24*30)+(5*0.05*12*30)</f>
        <v>182</v>
      </c>
      <c r="M19" s="14">
        <f>20+(2*0.05*24*31)+(5*0.05*12*31)</f>
        <v>187.4</v>
      </c>
      <c r="N19" s="8">
        <f t="shared" si="3"/>
        <v>2216.4000000000005</v>
      </c>
      <c r="O19" s="9">
        <f t="shared" ref="O19:O20" si="5">N19/5</f>
        <v>443.28000000000009</v>
      </c>
    </row>
    <row r="20" spans="1:15" x14ac:dyDescent="0.3">
      <c r="A20" s="10" t="s">
        <v>27</v>
      </c>
      <c r="B20" s="15">
        <f>20+(2*0.05*24*31)+(5*0.05*24*31)</f>
        <v>280.39999999999998</v>
      </c>
      <c r="C20" s="15">
        <f>20+(2*0.05*24*28)+(5*0.05*24*28)</f>
        <v>255.20000000000002</v>
      </c>
      <c r="D20" s="15">
        <f>20+(2*0.05*24*31)+(5*0.05*24*31)</f>
        <v>280.39999999999998</v>
      </c>
      <c r="E20" s="15">
        <f>20+(2*0.05*24*30)+(5*0.05*24*30)</f>
        <v>272</v>
      </c>
      <c r="F20" s="15">
        <f>20+(2*0.05*24*31)+(5*0.05*24*31)</f>
        <v>280.39999999999998</v>
      </c>
      <c r="G20" s="15">
        <f>20+(2*0.05*24*30)+(5*0.05*24*30)</f>
        <v>272</v>
      </c>
      <c r="H20" s="15">
        <f>20+(2*0.05*24*31)+(5*0.05*24*31)</f>
        <v>280.39999999999998</v>
      </c>
      <c r="I20" s="15">
        <f>20+(2*0.05*24*31)+(5*0.05*24*31)</f>
        <v>280.39999999999998</v>
      </c>
      <c r="J20" s="15">
        <f>20+(2*0.05*24*31)+(5*0.05*24*31)</f>
        <v>280.39999999999998</v>
      </c>
      <c r="K20" s="15">
        <f>20+(2*0.05*24*31)+(5*0.05*24*31)</f>
        <v>280.39999999999998</v>
      </c>
      <c r="L20" s="15">
        <f>20+(2*0.05*24*30)+(5*0.05*24*30)</f>
        <v>272</v>
      </c>
      <c r="M20" s="15">
        <f>20+(2*0.05*24*31)+(5*0.05*24*31)</f>
        <v>280.39999999999998</v>
      </c>
      <c r="N20" s="11">
        <f t="shared" si="3"/>
        <v>3314.4000000000005</v>
      </c>
      <c r="O20" s="12">
        <f t="shared" si="5"/>
        <v>662.88000000000011</v>
      </c>
    </row>
    <row r="21" spans="1:15" x14ac:dyDescent="0.3">
      <c r="A21" s="3" t="s">
        <v>28</v>
      </c>
      <c r="B21" s="13">
        <f>20+(3*0.05*24*31)</f>
        <v>131.60000000000002</v>
      </c>
      <c r="C21" s="13">
        <f>20+(3*0.05*24*28)</f>
        <v>120.80000000000001</v>
      </c>
      <c r="D21" s="13">
        <f>20+(3*0.05*24*31)</f>
        <v>131.60000000000002</v>
      </c>
      <c r="E21" s="13">
        <f>20+(3*0.05*24*30)</f>
        <v>128</v>
      </c>
      <c r="F21" s="13">
        <f>20+(3*0.05*24*31)</f>
        <v>131.60000000000002</v>
      </c>
      <c r="G21" s="13">
        <f>20+(3*0.05*24*30)</f>
        <v>128</v>
      </c>
      <c r="H21" s="13">
        <f>20+(3*0.05*24*31)</f>
        <v>131.60000000000002</v>
      </c>
      <c r="I21" s="13">
        <f>20+(3*0.05*24*31)</f>
        <v>131.60000000000002</v>
      </c>
      <c r="J21" s="13">
        <f>20+(3*0.05*24*31)</f>
        <v>131.60000000000002</v>
      </c>
      <c r="K21" s="13">
        <f>20+(3*0.05*24*31)</f>
        <v>131.60000000000002</v>
      </c>
      <c r="L21" s="13">
        <f>20+(3*0.05*24*30)</f>
        <v>128</v>
      </c>
      <c r="M21" s="13">
        <f>20+(3*0.05*24*31)</f>
        <v>131.60000000000002</v>
      </c>
      <c r="N21" s="5">
        <f t="shared" si="3"/>
        <v>1557.6</v>
      </c>
      <c r="O21" s="6">
        <f>N21/6</f>
        <v>259.59999999999997</v>
      </c>
    </row>
    <row r="22" spans="1:15" x14ac:dyDescent="0.3">
      <c r="A22" s="7" t="s">
        <v>29</v>
      </c>
      <c r="B22" s="14">
        <f>20+(3*0.05*24*31)+(6*0.05*12*31)</f>
        <v>243.20000000000005</v>
      </c>
      <c r="C22" s="14">
        <f>20+(3*0.05*24*28)+(6*0.05*12*28)</f>
        <v>221.60000000000002</v>
      </c>
      <c r="D22" s="14">
        <f>20+(3*0.05*24*31)+(6*0.05*12*31)</f>
        <v>243.20000000000005</v>
      </c>
      <c r="E22" s="14">
        <f>20+(3*0.05*24*30)+(6*0.05*12*30)</f>
        <v>236</v>
      </c>
      <c r="F22" s="14">
        <f>20+(3*0.05*24*31)+(6*0.05*12*31)</f>
        <v>243.20000000000005</v>
      </c>
      <c r="G22" s="14">
        <f>20+(3*0.05*24*30)+(6*0.05*12*30)</f>
        <v>236</v>
      </c>
      <c r="H22" s="14">
        <f>20+(3*0.05*24*31)+(6*0.05*12*31)</f>
        <v>243.20000000000005</v>
      </c>
      <c r="I22" s="14">
        <f>20+(3*0.05*24*31)+(6*0.05*12*31)</f>
        <v>243.20000000000005</v>
      </c>
      <c r="J22" s="14">
        <f>20+(3*0.05*24*31)+(6*0.05*12*31)</f>
        <v>243.20000000000005</v>
      </c>
      <c r="K22" s="14">
        <f>20+(3*0.05*24*31)+(6*0.05*12*31)</f>
        <v>243.20000000000005</v>
      </c>
      <c r="L22" s="14">
        <f>20+(3*0.05*24*30)+(6*0.05*12*30)</f>
        <v>236</v>
      </c>
      <c r="M22" s="14">
        <f>20+(3*0.05*24*31)+(6*0.05*12*31)</f>
        <v>243.20000000000005</v>
      </c>
      <c r="N22" s="8">
        <f t="shared" si="3"/>
        <v>2875.2</v>
      </c>
      <c r="O22" s="9">
        <f t="shared" ref="O22:O23" si="6">N22/6</f>
        <v>479.2</v>
      </c>
    </row>
    <row r="23" spans="1:15" x14ac:dyDescent="0.3">
      <c r="A23" s="10" t="s">
        <v>30</v>
      </c>
      <c r="B23" s="15">
        <f>20+(3*0.05*24*31)+(6*0.05*24*31)</f>
        <v>354.80000000000007</v>
      </c>
      <c r="C23" s="15">
        <f>20+(3*0.05*24*28)+(6*0.05*24*28)</f>
        <v>322.40000000000003</v>
      </c>
      <c r="D23" s="15">
        <f>20+(3*0.05*24*31)+(6*0.05*24*31)</f>
        <v>354.80000000000007</v>
      </c>
      <c r="E23" s="15">
        <f>20+(3*0.05*24*30)+(6*0.05*24*30)</f>
        <v>344</v>
      </c>
      <c r="F23" s="15">
        <f>20+(3*0.05*24*31)+(6*0.05*24*31)</f>
        <v>354.80000000000007</v>
      </c>
      <c r="G23" s="15">
        <f>20+(3*0.05*24*30)+(6*0.05*24*30)</f>
        <v>344</v>
      </c>
      <c r="H23" s="15">
        <f>20+(3*0.05*24*31)+(6*0.05*24*31)</f>
        <v>354.80000000000007</v>
      </c>
      <c r="I23" s="15">
        <f>20+(3*0.05*24*31)+(6*0.05*24*31)</f>
        <v>354.80000000000007</v>
      </c>
      <c r="J23" s="15">
        <f>20+(3*0.05*24*31)+(6*0.05*24*31)</f>
        <v>354.80000000000007</v>
      </c>
      <c r="K23" s="15">
        <f>20+(3*0.05*24*31)+(6*0.05*24*31)</f>
        <v>354.80000000000007</v>
      </c>
      <c r="L23" s="15">
        <f>20+(3*0.05*24*30)+(6*0.05*24*30)</f>
        <v>344</v>
      </c>
      <c r="M23" s="15">
        <f>20+(3*0.05*24*31)+(6*0.05*24*31)</f>
        <v>354.80000000000007</v>
      </c>
      <c r="N23" s="11">
        <f t="shared" si="3"/>
        <v>4192.8000000000011</v>
      </c>
      <c r="O23" s="12">
        <f t="shared" si="6"/>
        <v>698.80000000000018</v>
      </c>
    </row>
    <row r="24" spans="1:15" x14ac:dyDescent="0.3">
      <c r="A24" s="3" t="s">
        <v>31</v>
      </c>
      <c r="B24" s="13">
        <f>20+(4*0.05*24*31)</f>
        <v>168.8</v>
      </c>
      <c r="C24" s="13">
        <f>20+(4*0.05*24*28)</f>
        <v>154.40000000000003</v>
      </c>
      <c r="D24" s="13">
        <f>20+(4*0.05*24*31)</f>
        <v>168.8</v>
      </c>
      <c r="E24" s="13">
        <f>20+(4*0.05*24*30)</f>
        <v>164.00000000000003</v>
      </c>
      <c r="F24" s="13">
        <f>20+(4*0.05*24*31)</f>
        <v>168.8</v>
      </c>
      <c r="G24" s="13">
        <f>20+(4*0.05*24*30)</f>
        <v>164.00000000000003</v>
      </c>
      <c r="H24" s="13">
        <f>20+(4*0.05*24*31)</f>
        <v>168.8</v>
      </c>
      <c r="I24" s="13">
        <f>20+(4*0.05*24*31)</f>
        <v>168.8</v>
      </c>
      <c r="J24" s="13">
        <f>20+(4*0.05*24*31)</f>
        <v>168.8</v>
      </c>
      <c r="K24" s="13">
        <f>20+(4*0.05*24*31)</f>
        <v>168.8</v>
      </c>
      <c r="L24" s="13">
        <f>20+(4*0.05*24*30)</f>
        <v>164.00000000000003</v>
      </c>
      <c r="M24" s="13">
        <f>20+(4*0.05*24*31)</f>
        <v>168.8</v>
      </c>
      <c r="N24" s="5">
        <f t="shared" si="3"/>
        <v>1996.8</v>
      </c>
      <c r="O24" s="6">
        <f>N24/7</f>
        <v>285.25714285714287</v>
      </c>
    </row>
    <row r="25" spans="1:15" x14ac:dyDescent="0.3">
      <c r="A25" s="7" t="s">
        <v>32</v>
      </c>
      <c r="B25" s="14">
        <f>20+(4*0.05*24*31)+(7*0.05*12*31)</f>
        <v>299</v>
      </c>
      <c r="C25" s="14">
        <f>20+(4*0.05*24*28)+(7*0.05*12*28)</f>
        <v>272.00000000000006</v>
      </c>
      <c r="D25" s="14">
        <f>20+(4*0.05*24*31)+(7*0.05*12*31)</f>
        <v>299</v>
      </c>
      <c r="E25" s="14">
        <f>20+(4*0.05*24*30)+(7*0.05*12*30)</f>
        <v>290</v>
      </c>
      <c r="F25" s="14">
        <f>20+(4*0.05*24*31)+(7*0.05*12*31)</f>
        <v>299</v>
      </c>
      <c r="G25" s="14">
        <f>20+(4*0.05*24*30)+(7*0.05*12*30)</f>
        <v>290</v>
      </c>
      <c r="H25" s="14">
        <f>20+(4*0.05*24*31)+(7*0.05*12*31)</f>
        <v>299</v>
      </c>
      <c r="I25" s="14">
        <f>20+(4*0.05*24*31)+(7*0.05*12*31)</f>
        <v>299</v>
      </c>
      <c r="J25" s="14">
        <f>20+(4*0.05*24*31)+(7*0.05*12*31)</f>
        <v>299</v>
      </c>
      <c r="K25" s="14">
        <f>20+(4*0.05*24*31)+(7*0.05*12*31)</f>
        <v>299</v>
      </c>
      <c r="L25" s="14">
        <f>20+(4*0.05*24*30)+(7*0.05*12*30)</f>
        <v>290</v>
      </c>
      <c r="M25" s="14">
        <f>20+(4*0.05*24*31)+(7*0.05*12*31)</f>
        <v>299</v>
      </c>
      <c r="N25" s="8">
        <f t="shared" si="3"/>
        <v>3534</v>
      </c>
      <c r="O25" s="9">
        <f t="shared" ref="O25:O26" si="7">N25/7</f>
        <v>504.85714285714283</v>
      </c>
    </row>
    <row r="26" spans="1:15" x14ac:dyDescent="0.3">
      <c r="A26" s="7" t="s">
        <v>33</v>
      </c>
      <c r="B26" s="14">
        <f>20+(4*0.05*24*31)+(7*0.05*24*31)</f>
        <v>429.20000000000005</v>
      </c>
      <c r="C26" s="14">
        <f>20+(4*0.05*24*28)+(7*0.05*24*28)</f>
        <v>389.6</v>
      </c>
      <c r="D26" s="14">
        <f>20+(4*0.05*24*31)+(7*0.05*24*31)</f>
        <v>429.20000000000005</v>
      </c>
      <c r="E26" s="14">
        <f>20+(4*0.05*24*30)+(7*0.05*24*30)</f>
        <v>416</v>
      </c>
      <c r="F26" s="14">
        <f>20+(4*0.05*24*31)+(7*0.05*24*31)</f>
        <v>429.20000000000005</v>
      </c>
      <c r="G26" s="14">
        <f>20+(4*0.05*24*30)+(7*0.05*24*30)</f>
        <v>416</v>
      </c>
      <c r="H26" s="14">
        <f>20+(4*0.05*24*31)+(7*0.05*24*31)</f>
        <v>429.20000000000005</v>
      </c>
      <c r="I26" s="14">
        <f>20+(4*0.05*24*31)+(7*0.05*24*31)</f>
        <v>429.20000000000005</v>
      </c>
      <c r="J26" s="14">
        <f>20+(4*0.05*24*31)+(7*0.05*24*31)</f>
        <v>429.20000000000005</v>
      </c>
      <c r="K26" s="14">
        <f>20+(4*0.05*24*31)+(7*0.05*24*31)</f>
        <v>429.20000000000005</v>
      </c>
      <c r="L26" s="14">
        <f>20+(4*0.05*24*30)+(7*0.05*24*30)</f>
        <v>416</v>
      </c>
      <c r="M26" s="14">
        <f>20+(4*0.05*24*31)+(7*0.05*24*31)</f>
        <v>429.20000000000005</v>
      </c>
      <c r="N26" s="8">
        <f t="shared" si="3"/>
        <v>5071.1999999999989</v>
      </c>
      <c r="O26" s="9">
        <f t="shared" si="7"/>
        <v>724.45714285714268</v>
      </c>
    </row>
    <row r="27" spans="1:15" x14ac:dyDescent="0.3">
      <c r="A27" s="3" t="s">
        <v>35</v>
      </c>
      <c r="B27" s="13">
        <f>20+(5*0.05*24*31)</f>
        <v>206</v>
      </c>
      <c r="C27" s="13">
        <f>20+(5*0.05*24*28)</f>
        <v>188</v>
      </c>
      <c r="D27" s="13">
        <f>20+(5*0.05*24*31)</f>
        <v>206</v>
      </c>
      <c r="E27" s="13">
        <f>20+(5*0.05*24*30)</f>
        <v>200</v>
      </c>
      <c r="F27" s="13">
        <f>20+(5*0.05*24*31)</f>
        <v>206</v>
      </c>
      <c r="G27" s="13">
        <f>20+(5*0.05*24*30)</f>
        <v>200</v>
      </c>
      <c r="H27" s="13">
        <f>20+(5*0.05*24*31)</f>
        <v>206</v>
      </c>
      <c r="I27" s="13">
        <f>20+(5*0.05*24*31)</f>
        <v>206</v>
      </c>
      <c r="J27" s="13">
        <f>20+(5*0.05*24*31)</f>
        <v>206</v>
      </c>
      <c r="K27" s="13">
        <f>20+(5*0.05*24*31)</f>
        <v>206</v>
      </c>
      <c r="L27" s="13">
        <f>20+(5*0.05*24*30)</f>
        <v>200</v>
      </c>
      <c r="M27" s="13">
        <f>20+(5*0.05*24*31)</f>
        <v>206</v>
      </c>
      <c r="N27" s="5">
        <f t="shared" ref="N27:N29" si="8">SUM(B27:M27)</f>
        <v>2436</v>
      </c>
      <c r="O27" s="6">
        <f>N27/8</f>
        <v>304.5</v>
      </c>
    </row>
    <row r="28" spans="1:15" x14ac:dyDescent="0.3">
      <c r="A28" s="7" t="s">
        <v>36</v>
      </c>
      <c r="B28" s="14">
        <f>20+(5*0.05*24*31)+(8*0.05*12*31)</f>
        <v>354.8</v>
      </c>
      <c r="C28" s="14">
        <f>20+(5*0.05*24*28)+(8*0.05*12*28)</f>
        <v>322.40000000000003</v>
      </c>
      <c r="D28" s="14">
        <f>20+(5*0.05*24*31)+(8*0.05*12*31)</f>
        <v>354.8</v>
      </c>
      <c r="E28" s="14">
        <f>20+(5*0.05*24*30)+(8*0.05*12*30)</f>
        <v>344</v>
      </c>
      <c r="F28" s="14">
        <f>20+(5*0.05*24*31)+(8*0.05*12*31)</f>
        <v>354.8</v>
      </c>
      <c r="G28" s="14">
        <f>20+(5*0.05*24*30)+(8*0.05*12*30)</f>
        <v>344</v>
      </c>
      <c r="H28" s="14">
        <f>20+(5*0.05*24*31)+(8*0.05*12*31)</f>
        <v>354.8</v>
      </c>
      <c r="I28" s="14">
        <f>20+(5*0.05*24*31)+(8*0.05*12*31)</f>
        <v>354.8</v>
      </c>
      <c r="J28" s="14">
        <f>20+(5*0.05*24*31)+(8*0.05*12*31)</f>
        <v>354.8</v>
      </c>
      <c r="K28" s="14">
        <f>20+(5*0.05*24*31)+(8*0.05*12*31)</f>
        <v>354.8</v>
      </c>
      <c r="L28" s="14">
        <f>20+(5*0.05*24*30)+(8*0.05*12*30)</f>
        <v>344</v>
      </c>
      <c r="M28" s="14">
        <f>20+(5*0.05*24*31)+(8*0.05*12*31)</f>
        <v>354.8</v>
      </c>
      <c r="N28" s="8">
        <f t="shared" si="8"/>
        <v>4192.8000000000011</v>
      </c>
      <c r="O28" s="9">
        <f t="shared" ref="O28:O29" si="9">N28/8</f>
        <v>524.10000000000014</v>
      </c>
    </row>
    <row r="29" spans="1:15" x14ac:dyDescent="0.3">
      <c r="A29" s="10" t="s">
        <v>37</v>
      </c>
      <c r="B29" s="15">
        <f>20+(5*0.05*24*31)+(8*0.05*24*31)</f>
        <v>503.6</v>
      </c>
      <c r="C29" s="15">
        <f>20+(5*0.05*24*28)+(8*0.05*24*28)</f>
        <v>456.80000000000007</v>
      </c>
      <c r="D29" s="15">
        <f>20+(5*0.05*24*31)+(8*0.05*24*31)</f>
        <v>503.6</v>
      </c>
      <c r="E29" s="15">
        <f>20+(5*0.05*24*30)+(8*0.05*24*30)</f>
        <v>488.00000000000006</v>
      </c>
      <c r="F29" s="15">
        <f>20+(5*0.05*24*31)+(8*0.05*24*31)</f>
        <v>503.6</v>
      </c>
      <c r="G29" s="15">
        <f>20+(5*0.05*24*30)+(8*0.05*24*30)</f>
        <v>488.00000000000006</v>
      </c>
      <c r="H29" s="15">
        <f>20+(5*0.05*24*31)+(8*0.05*24*31)</f>
        <v>503.6</v>
      </c>
      <c r="I29" s="15">
        <f>20+(5*0.05*24*31)+(8*0.05*24*31)</f>
        <v>503.6</v>
      </c>
      <c r="J29" s="15">
        <f>20+(5*0.05*24*31)+(8*0.05*24*31)</f>
        <v>503.6</v>
      </c>
      <c r="K29" s="15">
        <f>20+(5*0.05*24*31)+(8*0.05*24*31)</f>
        <v>503.6</v>
      </c>
      <c r="L29" s="15">
        <f>20+(5*0.05*24*30)+(8*0.05*24*30)</f>
        <v>488.00000000000006</v>
      </c>
      <c r="M29" s="15">
        <f>20+(5*0.05*24*31)+(8*0.05*24*31)</f>
        <v>503.6</v>
      </c>
      <c r="N29" s="11">
        <f t="shared" si="8"/>
        <v>5949.6</v>
      </c>
      <c r="O29" s="12">
        <f t="shared" si="9"/>
        <v>743.7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small</vt:lpstr>
      <vt:lpstr>small-hcpu</vt:lpstr>
      <vt:lpstr>medium</vt:lpstr>
    </vt:vector>
  </TitlesOfParts>
  <Company>WSWC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SLarsen</dc:creator>
  <cp:lastModifiedBy>SLarsen</cp:lastModifiedBy>
  <dcterms:created xsi:type="dcterms:W3CDTF">2015-01-29T15:17:47Z</dcterms:created>
  <dcterms:modified xsi:type="dcterms:W3CDTF">2015-02-02T23:44:41Z</dcterms:modified>
</cp:coreProperties>
</file>